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15" windowWidth="16515" windowHeight="7305" activeTab="2"/>
  </bookViews>
  <sheets>
    <sheet name="2016 Ganancias" sheetId="12" r:id="rId1"/>
    <sheet name="2016 Bienes" sheetId="20" r:id="rId2"/>
    <sheet name="Inmuebles" sheetId="24" r:id="rId3"/>
    <sheet name="Vehiculos" sheetId="25" r:id="rId4"/>
    <sheet name="Participaciones Sociedad" sheetId="32" r:id="rId5"/>
    <sheet name="Creditos" sheetId="33" r:id="rId6"/>
    <sheet name="Banco Saldos" sheetId="30" r:id="rId7"/>
    <sheet name="Cuentas" sheetId="35" r:id="rId8"/>
    <sheet name="Pasivos" sheetId="37" r:id="rId9"/>
    <sheet name="Dinero en Efectivo" sheetId="31" r:id="rId10"/>
    <sheet name="Consumo" sheetId="34" r:id="rId11"/>
    <sheet name="Prestamos 2016" sheetId="36" r:id="rId12"/>
  </sheets>
  <externalReferences>
    <externalReference r:id="rId13"/>
    <externalReference r:id="rId14"/>
  </externalReferences>
  <definedNames>
    <definedName name="_xlnm._FilterDatabase" localSheetId="7" hidden="1">Cuentas!$A$4:$D$4</definedName>
  </definedNames>
  <calcPr calcId="124519"/>
</workbook>
</file>

<file path=xl/calcChain.xml><?xml version="1.0" encoding="utf-8"?>
<calcChain xmlns="http://schemas.openxmlformats.org/spreadsheetml/2006/main">
  <c r="E10" i="30"/>
  <c r="E9"/>
  <c r="F40" i="24"/>
  <c r="E40"/>
  <c r="B40"/>
  <c r="D16" i="20"/>
  <c r="I18" i="24"/>
  <c r="B16" i="20"/>
  <c r="A16"/>
  <c r="I17" i="24" l="1"/>
  <c r="G17"/>
  <c r="E17"/>
  <c r="C32"/>
  <c r="C31"/>
  <c r="C28"/>
  <c r="A28"/>
  <c r="C29"/>
  <c r="C30" l="1"/>
  <c r="F42" l="1"/>
  <c r="C17"/>
  <c r="F65" i="12"/>
  <c r="D57" i="20"/>
  <c r="D53"/>
  <c r="E51"/>
  <c r="E52"/>
  <c r="E54"/>
  <c r="E55"/>
  <c r="E56"/>
  <c r="E58"/>
  <c r="E59"/>
  <c r="E50"/>
  <c r="A59"/>
  <c r="A58"/>
  <c r="A56"/>
  <c r="A55"/>
  <c r="A54"/>
  <c r="A52"/>
  <c r="A51"/>
  <c r="A50"/>
  <c r="C47"/>
  <c r="D46"/>
  <c r="B46" s="1"/>
  <c r="E46"/>
  <c r="D45"/>
  <c r="D47" s="1"/>
  <c r="E45"/>
  <c r="D34"/>
  <c r="D33"/>
  <c r="D31"/>
  <c r="E35"/>
  <c r="E34"/>
  <c r="E33"/>
  <c r="E32"/>
  <c r="E31"/>
  <c r="A35"/>
  <c r="A34"/>
  <c r="A33"/>
  <c r="A32"/>
  <c r="A31"/>
  <c r="B22"/>
  <c r="D22"/>
  <c r="E22" s="1"/>
  <c r="A22"/>
  <c r="B21"/>
  <c r="D21"/>
  <c r="E15"/>
  <c r="D15" s="1"/>
  <c r="B15"/>
  <c r="A15"/>
  <c r="E61" l="1"/>
  <c r="E64" s="1"/>
  <c r="D36"/>
  <c r="E47"/>
  <c r="B45"/>
  <c r="B47" s="1"/>
  <c r="B23"/>
  <c r="E36"/>
  <c r="B33"/>
  <c r="B36" s="1"/>
  <c r="D23"/>
  <c r="E21"/>
  <c r="E23" s="1"/>
  <c r="B7" i="34"/>
  <c r="B6" l="1"/>
  <c r="G13" i="37"/>
  <c r="G12"/>
  <c r="G14" s="1"/>
  <c r="E10"/>
  <c r="G11"/>
  <c r="D11"/>
  <c r="H16" i="30"/>
  <c r="H17" s="1"/>
  <c r="H15"/>
  <c r="K13"/>
  <c r="J13"/>
  <c r="I13"/>
  <c r="H13"/>
  <c r="C16" i="33"/>
  <c r="E11" i="37" l="1"/>
  <c r="D59" i="20"/>
  <c r="D61" s="1"/>
  <c r="D64" s="1"/>
  <c r="K10" i="30"/>
  <c r="J9"/>
  <c r="C8" i="33"/>
  <c r="H9" i="25"/>
  <c r="B9"/>
  <c r="H8"/>
  <c r="F8"/>
  <c r="D8"/>
  <c r="E8" s="1"/>
  <c r="D7"/>
  <c r="G16" i="24"/>
  <c r="G18"/>
  <c r="I16"/>
  <c r="K16"/>
  <c r="C18" l="1"/>
  <c r="B8" i="34" l="1"/>
  <c r="B9" s="1"/>
  <c r="C40" i="20"/>
  <c r="B40"/>
  <c r="E39"/>
  <c r="E40" s="1"/>
  <c r="D39"/>
  <c r="A39"/>
  <c r="A21"/>
  <c r="D9"/>
  <c r="D11"/>
  <c r="D14"/>
  <c r="E8"/>
  <c r="E9"/>
  <c r="E10"/>
  <c r="E11"/>
  <c r="E12"/>
  <c r="E13"/>
  <c r="E14"/>
  <c r="E7"/>
  <c r="C17"/>
  <c r="B9"/>
  <c r="B11"/>
  <c r="B14"/>
  <c r="A14"/>
  <c r="A8"/>
  <c r="A9"/>
  <c r="A10"/>
  <c r="A11"/>
  <c r="A12"/>
  <c r="A13"/>
  <c r="A7"/>
  <c r="C11" i="32"/>
  <c r="B5" i="31"/>
  <c r="E26" i="20" s="1"/>
  <c r="C3" i="31"/>
  <c r="C26" i="20" l="1"/>
  <c r="D40"/>
  <c r="B71"/>
  <c r="E17"/>
  <c r="E63" s="1"/>
  <c r="E65" s="1"/>
  <c r="D42" i="24" l="1"/>
  <c r="B41"/>
  <c r="H40"/>
  <c r="H42" s="1"/>
  <c r="C41"/>
  <c r="F41" s="1"/>
  <c r="H41" s="1"/>
  <c r="C40"/>
  <c r="C39"/>
  <c r="F39" s="1"/>
  <c r="A41"/>
  <c r="A40"/>
  <c r="A39"/>
  <c r="I14"/>
  <c r="B13" i="20" s="1"/>
  <c r="G21" i="24"/>
  <c r="G25" s="1"/>
  <c r="E21"/>
  <c r="K13"/>
  <c r="I13"/>
  <c r="B12" i="20" s="1"/>
  <c r="A21" i="24"/>
  <c r="C21"/>
  <c r="C22" s="1"/>
  <c r="C23" s="1"/>
  <c r="C24" s="1"/>
  <c r="C25" s="1"/>
  <c r="E11" s="1"/>
  <c r="I11" s="1"/>
  <c r="I9"/>
  <c r="B8" i="20" s="1"/>
  <c r="J8" i="24"/>
  <c r="K8" s="1"/>
  <c r="I8"/>
  <c r="B7" i="20" s="1"/>
  <c r="B10" l="1"/>
  <c r="B17" s="1"/>
  <c r="K11" i="24"/>
  <c r="H39"/>
  <c r="C4" i="31" s="1"/>
  <c r="C5" s="1"/>
  <c r="E39" i="24"/>
  <c r="K9"/>
  <c r="K14"/>
  <c r="E41"/>
  <c r="G23"/>
  <c r="B26" i="20" l="1"/>
  <c r="D26"/>
  <c r="E42" i="24"/>
  <c r="F56" i="12" s="1"/>
  <c r="G14" i="24"/>
  <c r="D13" i="20" s="1"/>
  <c r="G13" i="24"/>
  <c r="D12" i="20" s="1"/>
  <c r="G11" i="24"/>
  <c r="D10" i="20" s="1"/>
  <c r="G9" i="24"/>
  <c r="D8" i="20" s="1"/>
  <c r="G8" i="24"/>
  <c r="B33" i="12"/>
  <c r="B31"/>
  <c r="H15"/>
  <c r="H19" s="1"/>
  <c r="E10"/>
  <c r="C8"/>
  <c r="H8" s="1"/>
  <c r="C7"/>
  <c r="H7" s="1"/>
  <c r="D7" i="20" l="1"/>
  <c r="D17" s="1"/>
  <c r="E7" i="25" l="1"/>
  <c r="C36" i="20"/>
  <c r="E28"/>
  <c r="D28"/>
  <c r="D63" s="1"/>
  <c r="D65" s="1"/>
  <c r="C28"/>
  <c r="B28"/>
  <c r="B63" s="1"/>
  <c r="B67" s="1"/>
  <c r="C23"/>
  <c r="F63" i="12"/>
  <c r="B46"/>
  <c r="E42"/>
  <c r="H32"/>
  <c r="H30"/>
  <c r="I25"/>
  <c r="G10"/>
  <c r="F10"/>
  <c r="D10"/>
  <c r="C10"/>
  <c r="H7" i="25" l="1"/>
  <c r="F70" i="20" s="1"/>
  <c r="H35" i="12"/>
  <c r="H71" i="20" l="1"/>
  <c r="H75" s="1"/>
  <c r="H76" s="1"/>
  <c r="H80" s="1"/>
  <c r="F54" i="12" l="1"/>
  <c r="B68" i="20"/>
  <c r="B69" s="1"/>
  <c r="B73" s="1"/>
  <c r="H10" i="12"/>
  <c r="H22" l="1"/>
  <c r="H25" s="1"/>
  <c r="J14"/>
  <c r="D57"/>
  <c r="D68" s="1"/>
  <c r="B75" i="20"/>
  <c r="F55" i="12" l="1"/>
  <c r="F68" s="1"/>
  <c r="D69" s="1"/>
  <c r="D70" s="1"/>
  <c r="H37"/>
  <c r="B41" l="1"/>
  <c r="B49" s="1"/>
  <c r="H54" s="1"/>
  <c r="E41" l="1"/>
  <c r="E43" s="1"/>
  <c r="E45" s="1"/>
  <c r="E49" s="1"/>
  <c r="F49" s="1"/>
  <c r="G49" s="1"/>
  <c r="H49" s="1"/>
  <c r="I49" s="1"/>
</calcChain>
</file>

<file path=xl/comments1.xml><?xml version="1.0" encoding="utf-8"?>
<comments xmlns="http://schemas.openxmlformats.org/spreadsheetml/2006/main">
  <authors>
    <author>Estudio</author>
  </authors>
  <commentList>
    <comment ref="F64" authorId="0">
      <text>
        <r>
          <rPr>
            <b/>
            <sz val="9"/>
            <color indexed="81"/>
            <rFont val="Tahoma"/>
            <family val="2"/>
          </rPr>
          <t>Estudio:</t>
        </r>
        <r>
          <rPr>
            <sz val="9"/>
            <color indexed="81"/>
            <rFont val="Tahoma"/>
            <family val="2"/>
          </rPr>
          <t xml:space="preserve">
Intereses exentos de plazo fijo</t>
        </r>
      </text>
    </comment>
  </commentList>
</comments>
</file>

<file path=xl/comments2.xml><?xml version="1.0" encoding="utf-8"?>
<comments xmlns="http://schemas.openxmlformats.org/spreadsheetml/2006/main">
  <authors>
    <author>Estudio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Estudio: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Se toma la suma de todas las propiedades de Campana 5314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Estudio:</t>
        </r>
        <r>
          <rPr>
            <sz val="9"/>
            <color indexed="81"/>
            <rFont val="Tahoma"/>
            <family val="2"/>
          </rPr>
          <t xml:space="preserve">
Se toma la suma de las propiedades de Zamudio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>Estudio:</t>
        </r>
        <r>
          <rPr>
            <sz val="9"/>
            <color indexed="81"/>
            <rFont val="Tahoma"/>
            <family val="2"/>
          </rPr>
          <t xml:space="preserve">
Se calculo el Valor Residual con un Justi precio (20% terreno) y se le incremento en un 5% para dejarlo similar al año pasado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Estudio:</t>
        </r>
        <r>
          <rPr>
            <sz val="9"/>
            <color indexed="81"/>
            <rFont val="Tahoma"/>
            <family val="2"/>
          </rPr>
          <t xml:space="preserve">
Se corrige, es un terreno. La anterior contadora lo venia amortizando y no se debe amortizar</t>
        </r>
      </text>
    </comment>
    <comment ref="C32" authorId="0">
      <text>
        <r>
          <rPr>
            <b/>
            <sz val="9"/>
            <color indexed="81"/>
            <rFont val="Tahoma"/>
            <family val="2"/>
          </rPr>
          <t>Estudio:</t>
        </r>
        <r>
          <rPr>
            <sz val="9"/>
            <color indexed="81"/>
            <rFont val="Tahoma"/>
            <family val="2"/>
          </rPr>
          <t xml:space="preserve">
Se calculo el Valor Residual con un Justi precio (20% terreno) y se le incremento en un 5% para dejarlo similar al año pasado</t>
        </r>
      </text>
    </comment>
  </commentList>
</comments>
</file>

<file path=xl/comments3.xml><?xml version="1.0" encoding="utf-8"?>
<comments xmlns="http://schemas.openxmlformats.org/spreadsheetml/2006/main">
  <authors>
    <author>Estudio</author>
  </authors>
  <commentList>
    <comment ref="C16" authorId="0">
      <text>
        <r>
          <rPr>
            <b/>
            <sz val="9"/>
            <color indexed="81"/>
            <rFont val="Tahoma"/>
            <family val="2"/>
          </rPr>
          <t>Estudio:</t>
        </r>
        <r>
          <rPr>
            <sz val="9"/>
            <color indexed="81"/>
            <rFont val="Tahoma"/>
            <family val="2"/>
          </rPr>
          <t xml:space="preserve">
Se informa como credito el 50% de la cuenta que tiene con el hermano sebastian</t>
        </r>
      </text>
    </comment>
  </commentList>
</comments>
</file>

<file path=xl/comments4.xml><?xml version="1.0" encoding="utf-8"?>
<comments xmlns="http://schemas.openxmlformats.org/spreadsheetml/2006/main">
  <authors>
    <author>Estudio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Estudio:</t>
        </r>
        <r>
          <rPr>
            <sz val="9"/>
            <color indexed="81"/>
            <rFont val="Tahoma"/>
            <family val="2"/>
          </rPr>
          <t xml:space="preserve">
42318 van como deducción.</t>
        </r>
      </text>
    </comment>
  </commentList>
</comments>
</file>

<file path=xl/sharedStrings.xml><?xml version="1.0" encoding="utf-8"?>
<sst xmlns="http://schemas.openxmlformats.org/spreadsheetml/2006/main" count="387" uniqueCount="304">
  <si>
    <t>Conceptos</t>
  </si>
  <si>
    <t>Limites</t>
  </si>
  <si>
    <t>1º</t>
  </si>
  <si>
    <t>2º</t>
  </si>
  <si>
    <t>3º</t>
  </si>
  <si>
    <t>4º</t>
  </si>
  <si>
    <t>TOTAL CATEGORIAS</t>
  </si>
  <si>
    <t>Rentas No Alcanzadas Exentas o No Computables</t>
  </si>
  <si>
    <t>Sin R.D.</t>
  </si>
  <si>
    <t>Con R.D.</t>
  </si>
  <si>
    <t>* Ganancias de cada Categoria</t>
  </si>
  <si>
    <t xml:space="preserve"> *Contribuyente</t>
  </si>
  <si>
    <t>Ingresos</t>
  </si>
  <si>
    <t>Deducciones Especiales</t>
  </si>
  <si>
    <t>Pagos Monotributo</t>
  </si>
  <si>
    <t>Ganancia Neta por Categoria</t>
  </si>
  <si>
    <t xml:space="preserve"> Deducciones Generales (Percibido)</t>
  </si>
  <si>
    <t>Aporte Autonomos</t>
  </si>
  <si>
    <t>Empleada Domestica</t>
  </si>
  <si>
    <t>Cuota Medica Asistencial</t>
  </si>
  <si>
    <t>Seguro de Vida</t>
  </si>
  <si>
    <t>996.23</t>
  </si>
  <si>
    <t>Seguro de Sepelio</t>
  </si>
  <si>
    <t>Subtotal</t>
  </si>
  <si>
    <t>Donaciones (Art.81.inc.c)</t>
  </si>
  <si>
    <t>Resultado Impositivo del Ejercicio</t>
  </si>
  <si>
    <t>Quebrantos Años Anteriores</t>
  </si>
  <si>
    <t>Resultado Final</t>
  </si>
  <si>
    <t>* Deducciones Personales</t>
  </si>
  <si>
    <t>Ganancia no Imponible</t>
  </si>
  <si>
    <t>Cargas de Familia</t>
  </si>
  <si>
    <t>Esposo/a</t>
  </si>
  <si>
    <t>Hijo/a</t>
  </si>
  <si>
    <t>Otras Cargas</t>
  </si>
  <si>
    <t>Deduccion Especial Autonomos</t>
  </si>
  <si>
    <t>Deduccion Especial Incrementada</t>
  </si>
  <si>
    <t>Total Deducciones Personales</t>
  </si>
  <si>
    <t>GNS a Impuesto por Categoria</t>
  </si>
  <si>
    <t>DETERMINACION</t>
  </si>
  <si>
    <t>Impuesto Determinado</t>
  </si>
  <si>
    <t>Imp Determinado</t>
  </si>
  <si>
    <t>Retenciones</t>
  </si>
  <si>
    <t>Pagos a Cuenta</t>
  </si>
  <si>
    <t>Base Imponible</t>
  </si>
  <si>
    <t>Retenciones y/o Percepciones</t>
  </si>
  <si>
    <t>Anticipos</t>
  </si>
  <si>
    <t>Impuesto al Credito Bancario</t>
  </si>
  <si>
    <t>Saldo a Favor Periodo Anterior</t>
  </si>
  <si>
    <t>Saldo DDJJ</t>
  </si>
  <si>
    <t>Saldo a Ingresar/ ( Saldo a Favor )</t>
  </si>
  <si>
    <t>Col I</t>
  </si>
  <si>
    <t>Col II</t>
  </si>
  <si>
    <t>SALIDAS/DISMINUCIONES</t>
  </si>
  <si>
    <t>ENTRADAS/AUMENTOS</t>
  </si>
  <si>
    <t>Patrimonio Inicial</t>
  </si>
  <si>
    <t xml:space="preserve">Resultado Impositivo </t>
  </si>
  <si>
    <t>Patrimonio final</t>
  </si>
  <si>
    <t>Conceptos e Importes que justifican Erogaciones</t>
  </si>
  <si>
    <t>y/o aumentos patrimoniales</t>
  </si>
  <si>
    <t>Amortizaciones y Gastos que no consumen fondos</t>
  </si>
  <si>
    <t>Conceptos e Importes que no justifican Erogaciones</t>
  </si>
  <si>
    <t>y/o aumentos Patrimoniales</t>
  </si>
  <si>
    <t>Imp Ganancias determinado en el Periodo Anterior</t>
  </si>
  <si>
    <t>Imp a los Bs Pers determinado en el Periodo Anterior</t>
  </si>
  <si>
    <t>Total</t>
  </si>
  <si>
    <t>Consumido</t>
  </si>
  <si>
    <t>Detalle de Bienes</t>
  </si>
  <si>
    <t>A) Inmuebles</t>
  </si>
  <si>
    <t>C) Efectivo</t>
  </si>
  <si>
    <t>D) Bancos</t>
  </si>
  <si>
    <t>Minimo Exento</t>
  </si>
  <si>
    <t>Bienes Exentos</t>
  </si>
  <si>
    <t>Alicuota</t>
  </si>
  <si>
    <t>Impto. Determinado</t>
  </si>
  <si>
    <t>Ingresos exentos</t>
  </si>
  <si>
    <t>A Pagar</t>
  </si>
  <si>
    <t xml:space="preserve">CALCULO ANTICIPOS </t>
  </si>
  <si>
    <t xml:space="preserve">JUSTIFICACION PATRIMONIAL-PERIODO FISCAL </t>
  </si>
  <si>
    <t>Total Inmuebles</t>
  </si>
  <si>
    <t xml:space="preserve">Total Automoviles </t>
  </si>
  <si>
    <t>Total Efectivo al Cierre</t>
  </si>
  <si>
    <t>Total Depositos Bancarios</t>
  </si>
  <si>
    <t>Total de Bienes Gravados al 31/12/2014 (A)+ (B)+ © + E</t>
  </si>
  <si>
    <t>Bienes del Hogar (5 % de los bienes Gravados)</t>
  </si>
  <si>
    <t>Saldo a Favor de la AFIP</t>
  </si>
  <si>
    <t>Bienes Personales</t>
  </si>
  <si>
    <t>Impuesto a las Ganancias</t>
  </si>
  <si>
    <t>Propiedades</t>
  </si>
  <si>
    <t>Inmueble</t>
  </si>
  <si>
    <t>Fecha De Compra</t>
  </si>
  <si>
    <t>Valor de Compra</t>
  </si>
  <si>
    <t>Valuación fiscal</t>
  </si>
  <si>
    <t>Porcentaje</t>
  </si>
  <si>
    <t>B) Vehículos</t>
  </si>
  <si>
    <t>Vehículos</t>
  </si>
  <si>
    <t>Fecha de Compra</t>
  </si>
  <si>
    <t>Amortizaciones</t>
  </si>
  <si>
    <t>Valor Residual</t>
  </si>
  <si>
    <t>Valuacion Fiscal</t>
  </si>
  <si>
    <t>Dominio</t>
  </si>
  <si>
    <t>Part</t>
  </si>
  <si>
    <t>TOTALES</t>
  </si>
  <si>
    <t>Total Pasivo</t>
  </si>
  <si>
    <t>Capital Afectado a Empresa</t>
  </si>
  <si>
    <t>Total Capital Afectado a Explotacion</t>
  </si>
  <si>
    <t>Total Activo</t>
  </si>
  <si>
    <t>PN Cierre</t>
  </si>
  <si>
    <t>Costo Computable</t>
  </si>
  <si>
    <t>Anticipos 2016</t>
  </si>
  <si>
    <t>Ganancias (Valor Historico)</t>
  </si>
  <si>
    <t>VENTA 2016</t>
  </si>
  <si>
    <t>SIGUE EN EL PATRIMONIO</t>
  </si>
  <si>
    <t>ADQUISICION 2016</t>
  </si>
  <si>
    <t>Observaciones</t>
  </si>
  <si>
    <t>Alquiler</t>
  </si>
  <si>
    <t>Venta</t>
  </si>
  <si>
    <t>No se alquila terreno</t>
  </si>
  <si>
    <t>Bienes Ps 2015</t>
  </si>
  <si>
    <t>% de incremento</t>
  </si>
  <si>
    <t>Precio de compra</t>
  </si>
  <si>
    <t>Terreno</t>
  </si>
  <si>
    <t>Valor Amortizable</t>
  </si>
  <si>
    <t>Valor del Inmueble</t>
  </si>
  <si>
    <t>Justi precio</t>
  </si>
  <si>
    <t>Amortizacion Acum 2016</t>
  </si>
  <si>
    <t>Resultado por venta de Inmuebles 2016</t>
  </si>
  <si>
    <t>Propiedad</t>
  </si>
  <si>
    <t>Precio de venta</t>
  </si>
  <si>
    <t>% de Titularidad</t>
  </si>
  <si>
    <t>Resultado por venta</t>
  </si>
  <si>
    <t>Dinero (Dolares)</t>
  </si>
  <si>
    <t>Dinero (Pesos)</t>
  </si>
  <si>
    <t>TC CIERRE</t>
  </si>
  <si>
    <t>Dif de Cotización</t>
  </si>
  <si>
    <t>PEUGEOT</t>
  </si>
  <si>
    <t>AÑOS DE FABRICACION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</si>
  <si>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</si>
  <si>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</si>
  <si>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</si>
  <si>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</si>
  <si>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</si>
  <si>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</si>
  <si>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</si>
  <si>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</si>
  <si>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</si>
  <si>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</si>
  <si>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Bs Ps</t>
  </si>
  <si>
    <t>Detalles de Tenencias al 31 de Diciembre de 2016</t>
  </si>
  <si>
    <t>Categoría</t>
  </si>
  <si>
    <t>Descripción</t>
  </si>
  <si>
    <t>Moneda</t>
  </si>
  <si>
    <t>Monto</t>
  </si>
  <si>
    <t>Cuentas</t>
  </si>
  <si>
    <t>$</t>
  </si>
  <si>
    <t>Impuestos</t>
  </si>
  <si>
    <t>Total Retención Impuesto ley 25.413 por Créditos alicuota 6 por mil (1)</t>
  </si>
  <si>
    <t>Impuestos susceptibles de ser computado contra otros tributos (2)</t>
  </si>
  <si>
    <t>Intereses ganados en Caja de Ahorro en pesos          Nro. 326-413831/7</t>
  </si>
  <si>
    <t>0,32</t>
  </si>
  <si>
    <t>U$S</t>
  </si>
  <si>
    <t>Deudas</t>
  </si>
  <si>
    <t>Consumos</t>
  </si>
  <si>
    <t>Pagos correspondientes a Tarjeta de Crédito Mastercard</t>
  </si>
  <si>
    <t>CBU</t>
  </si>
  <si>
    <t>BANCO</t>
  </si>
  <si>
    <t>CUENTA</t>
  </si>
  <si>
    <t>MONEDA</t>
  </si>
  <si>
    <t>TITULAR</t>
  </si>
  <si>
    <t>FRANCES</t>
  </si>
  <si>
    <t>SEBASTIAN GOMILA</t>
  </si>
  <si>
    <t>Pesos</t>
  </si>
  <si>
    <t>Dolares</t>
  </si>
  <si>
    <t>CUIT</t>
  </si>
  <si>
    <t>SIN MOVIMIENTO EN EL PERÍODO</t>
  </si>
  <si>
    <t>SOCIO GERENTE</t>
  </si>
  <si>
    <t xml:space="preserve"> </t>
  </si>
  <si>
    <t>Creditos</t>
  </si>
  <si>
    <t>Total Creditos</t>
  </si>
  <si>
    <t>Total Base Imponible Bienes Personales 2016</t>
  </si>
  <si>
    <t>Resultado Impositivo venta de Inmuebles</t>
  </si>
  <si>
    <t>Consumo Anual</t>
  </si>
  <si>
    <t>Mantenimiento</t>
  </si>
  <si>
    <t>Consumo mensual</t>
  </si>
  <si>
    <t>Casa habitacion</t>
  </si>
  <si>
    <t>039</t>
  </si>
  <si>
    <t>N</t>
  </si>
  <si>
    <t>34</t>
  </si>
  <si>
    <t>HB</t>
  </si>
  <si>
    <t>SEDAN 5 PUERTAS</t>
  </si>
  <si>
    <t>307 XS PREMIUM 2.0 HDI 5P 110CV</t>
  </si>
  <si>
    <t>CODIGO</t>
  </si>
  <si>
    <t>MARCA</t>
  </si>
  <si>
    <t>TIPO</t>
  </si>
  <si>
    <t>MODELO</t>
  </si>
  <si>
    <t>Fab</t>
  </si>
  <si>
    <t>Marca</t>
  </si>
  <si>
    <t>Mod</t>
  </si>
  <si>
    <t>Valuacion AFIP</t>
  </si>
  <si>
    <t>SALDOS 31/12/16</t>
  </si>
  <si>
    <t>CIUDAD</t>
  </si>
  <si>
    <t>pesos</t>
  </si>
  <si>
    <t>CUENTAS CERRADAS 23/12/16</t>
  </si>
  <si>
    <t>132,16</t>
  </si>
  <si>
    <t>44,93</t>
  </si>
  <si>
    <t>Intereses pagados en Cuenta Corriente en pesos          Nro. 326-000985/5</t>
  </si>
  <si>
    <t>123,58</t>
  </si>
  <si>
    <t>Intereses ganados en Caja de Ahorro en pesos          Nro. 326-003727/4</t>
  </si>
  <si>
    <t>5,92</t>
  </si>
  <si>
    <t>3.661,15</t>
  </si>
  <si>
    <t>622,38</t>
  </si>
  <si>
    <t>Pagos correspondientes a Seguros vinculados a productos</t>
  </si>
  <si>
    <t>0,00</t>
  </si>
  <si>
    <t>Saldo de deuda en Tarjeta de Crédito Mastercard Nro. XXXX-8848</t>
  </si>
  <si>
    <t>50.757,00</t>
  </si>
  <si>
    <t>85.345,14</t>
  </si>
  <si>
    <t>Saldo de deuda en Tarjeta de Crédito Visa       Nro. XXXX-5539</t>
  </si>
  <si>
    <t>53.253,00</t>
  </si>
  <si>
    <t>Pagos correspondientes a Tarjeta de Crédito Visa</t>
  </si>
  <si>
    <t>271.198,90</t>
  </si>
  <si>
    <t>2.410,85</t>
  </si>
  <si>
    <t>Datos del Préstamo Personal: Banco Frances</t>
  </si>
  <si>
    <t>Número de Préstamo:</t>
  </si>
  <si>
    <t>Destino de los fondos:</t>
  </si>
  <si>
    <t>MOBILIARIO Y DECORAC</t>
  </si>
  <si>
    <t>Cuenta de crédito:</t>
  </si>
  <si>
    <t>CA 326-003727/4</t>
  </si>
  <si>
    <t>Moneda:</t>
  </si>
  <si>
    <t>Monto del préstamo:</t>
  </si>
  <si>
    <t>Gastos:</t>
  </si>
  <si>
    <t>Monto acreditado:</t>
  </si>
  <si>
    <t>Tipo de tasa:</t>
  </si>
  <si>
    <t>FIJA</t>
  </si>
  <si>
    <t>TNA:</t>
  </si>
  <si>
    <t>TEA:</t>
  </si>
  <si>
    <t>TEM:</t>
  </si>
  <si>
    <t>CFT Nominal Anual con IVA:</t>
  </si>
  <si>
    <t>CFT Nominal Anual sin IVA:</t>
  </si>
  <si>
    <t>Día de pago:</t>
  </si>
  <si>
    <t>Cantidad de cuotas:</t>
  </si>
  <si>
    <t>Valor de cuota inicial (incluye IVA sobre interés):</t>
  </si>
  <si>
    <t>4.475,18 + sellos</t>
  </si>
  <si>
    <t>Compañía del seguro:</t>
  </si>
  <si>
    <t>01-BBVA CONSOLIDAR SEGUROS S.A.</t>
  </si>
  <si>
    <t>Tipo de cobertura del seguro:</t>
  </si>
  <si>
    <t>VIDA PERSONAL SDO DEUDA</t>
  </si>
  <si>
    <t>Fecha Formalización/Acreditación:</t>
  </si>
  <si>
    <t>SALDOS 31/12/15</t>
  </si>
  <si>
    <t>GANANCIAS</t>
  </si>
  <si>
    <t>Exento</t>
  </si>
  <si>
    <t>Gravado</t>
  </si>
  <si>
    <t>Bienes PS 31-12-2016</t>
  </si>
  <si>
    <t>PLAZO FIJO CIUDAD</t>
  </si>
  <si>
    <t>Detalle</t>
  </si>
  <si>
    <t>Denominación</t>
  </si>
  <si>
    <t>Importe al 31-12-2015</t>
  </si>
  <si>
    <t>Importe al 31-12-2016</t>
  </si>
  <si>
    <t>Variación</t>
  </si>
  <si>
    <t>Visa Bco Frances</t>
  </si>
  <si>
    <t>30-50000319-3</t>
  </si>
  <si>
    <t>Visa ICBC</t>
  </si>
  <si>
    <t>30-70944784-6</t>
  </si>
  <si>
    <t>Visa Ciudad</t>
  </si>
  <si>
    <t>30-99903208-3</t>
  </si>
  <si>
    <t>Master Citi</t>
  </si>
  <si>
    <t>30-50000562-5</t>
  </si>
  <si>
    <t>Master Bco Frances</t>
  </si>
  <si>
    <t>30-59036076-3</t>
  </si>
  <si>
    <t>Master Macro</t>
  </si>
  <si>
    <t>30-50001008-4</t>
  </si>
  <si>
    <t>Easy</t>
  </si>
  <si>
    <t>Banco Frances</t>
  </si>
  <si>
    <t>Pagos de tarjeta 2016</t>
  </si>
  <si>
    <t>Pago en dolares</t>
  </si>
  <si>
    <t>Consumo en tarjetas</t>
  </si>
  <si>
    <t>Domestica</t>
  </si>
  <si>
    <t>Tarjeta de credito</t>
  </si>
  <si>
    <t>E) Creditos</t>
  </si>
  <si>
    <t>F) Pasivos</t>
  </si>
  <si>
    <t>Total de Deudas</t>
  </si>
  <si>
    <t>Antipo Bs Ps</t>
  </si>
  <si>
    <t>Anticipo Ganancias</t>
  </si>
  <si>
    <t>ok</t>
  </si>
  <si>
    <t>Refacción (OTROS)</t>
  </si>
  <si>
    <r>
      <t>CIO</t>
    </r>
    <r>
      <rPr>
        <b/>
        <sz val="24"/>
        <color theme="1"/>
        <rFont val="Castellar"/>
        <family val="1"/>
      </rPr>
      <t xml:space="preserve"> Estudio</t>
    </r>
  </si>
  <si>
    <t>Conyuge</t>
  </si>
  <si>
    <t>CAMPANA</t>
  </si>
  <si>
    <t xml:space="preserve">ARTIGAS </t>
  </si>
  <si>
    <t xml:space="preserve">MELINCUE </t>
  </si>
  <si>
    <t xml:space="preserve">NOGOYA </t>
  </si>
  <si>
    <t xml:space="preserve">TINOGASTA </t>
  </si>
  <si>
    <t xml:space="preserve">ZAMUDIO </t>
  </si>
  <si>
    <t xml:space="preserve">CONDARCO </t>
  </si>
  <si>
    <t xml:space="preserve">CONSTITUCION </t>
  </si>
  <si>
    <t xml:space="preserve">GRAL RIVAS </t>
  </si>
  <si>
    <t xml:space="preserve">TERRADA </t>
  </si>
  <si>
    <t>CONSTRUCCIONES SRL</t>
  </si>
  <si>
    <t>30-66666666-6</t>
  </si>
  <si>
    <t>RODRIGO</t>
  </si>
  <si>
    <t>OCTAVIO TEVINI</t>
  </si>
  <si>
    <t>30-6666666-6</t>
  </si>
  <si>
    <t>XXXXXXXXXXXXXXXXXX</t>
  </si>
  <si>
    <t>Intereses pagados en Préstamo (otros) Nro. 326</t>
  </si>
  <si>
    <t>Préstamo (otros) Nro. 326</t>
  </si>
  <si>
    <t>CONSTRIUCCIONES</t>
  </si>
</sst>
</file>

<file path=xl/styles.xml><?xml version="1.0" encoding="utf-8"?>
<styleSheet xmlns="http://schemas.openxmlformats.org/spreadsheetml/2006/main">
  <numFmts count="8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* #,##0.00_);_(* \(#,##0.00\);_(* &quot;-&quot;??_);_(@_)"/>
    <numFmt numFmtId="166" formatCode="_(* #,##0.00_);_(* \(#,##0.00\);_(* &quot;-&quot;_);_(@_)"/>
    <numFmt numFmtId="167" formatCode="_-[$$-2C0A]\ * #,##0.00_-;\-[$$-2C0A]\ * #,##0.00_-;_-[$$-2C0A]\ * &quot;-&quot;??_-;_-@_-"/>
    <numFmt numFmtId="168" formatCode="&quot;$&quot;\ #,##0.00"/>
    <numFmt numFmtId="169" formatCode="_ [$$-2C0A]\ * #,##0.00_ ;_ [$$-2C0A]\ * \-#,##0.00_ ;_ [$$-2C0A]\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 Narrow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MS Sans Serif"/>
      <family val="2"/>
    </font>
    <font>
      <sz val="9"/>
      <color theme="0"/>
      <name val="Arial"/>
      <family val="2"/>
    </font>
    <font>
      <b/>
      <sz val="12"/>
      <color indexed="62"/>
      <name val="Calibri"/>
      <family val="2"/>
    </font>
    <font>
      <b/>
      <sz val="12"/>
      <color indexed="9"/>
      <name val="Calibri"/>
      <family val="2"/>
    </font>
    <font>
      <sz val="12"/>
      <color indexed="8"/>
      <name val="Calibri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rgb="FF000000"/>
      <name val="Calibri"/>
      <family val="2"/>
    </font>
    <font>
      <sz val="14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4"/>
      <color rgb="FF4F81BD"/>
      <name val="Castellar"/>
      <family val="1"/>
    </font>
    <font>
      <b/>
      <sz val="24"/>
      <color theme="1"/>
      <name val="Castellar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3">
    <xf numFmtId="0" fontId="0" fillId="0" borderId="0" xfId="0"/>
    <xf numFmtId="164" fontId="0" fillId="0" borderId="0" xfId="0" applyNumberFormat="1"/>
    <xf numFmtId="164" fontId="0" fillId="0" borderId="0" xfId="1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left"/>
    </xf>
    <xf numFmtId="165" fontId="5" fillId="2" borderId="5" xfId="0" applyNumberFormat="1" applyFont="1" applyFill="1" applyBorder="1" applyAlignment="1">
      <alignment horizontal="center"/>
    </xf>
    <xf numFmtId="165" fontId="5" fillId="2" borderId="5" xfId="0" applyNumberFormat="1" applyFont="1" applyFill="1" applyBorder="1"/>
    <xf numFmtId="165" fontId="5" fillId="2" borderId="5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right"/>
    </xf>
    <xf numFmtId="4" fontId="5" fillId="2" borderId="5" xfId="0" applyNumberFormat="1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right"/>
    </xf>
    <xf numFmtId="4" fontId="3" fillId="2" borderId="6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/>
    </xf>
    <xf numFmtId="0" fontId="6" fillId="0" borderId="0" xfId="2" applyBorder="1"/>
    <xf numFmtId="164" fontId="7" fillId="0" borderId="0" xfId="1" applyFont="1" applyBorder="1"/>
    <xf numFmtId="164" fontId="0" fillId="0" borderId="0" xfId="1" applyFont="1" applyBorder="1"/>
    <xf numFmtId="0" fontId="3" fillId="2" borderId="0" xfId="0" applyFont="1" applyFill="1" applyBorder="1"/>
    <xf numFmtId="4" fontId="5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 applyBorder="1"/>
    <xf numFmtId="0" fontId="5" fillId="2" borderId="0" xfId="0" applyFont="1" applyFill="1" applyBorder="1"/>
    <xf numFmtId="10" fontId="5" fillId="2" borderId="0" xfId="0" applyNumberFormat="1" applyFont="1" applyFill="1" applyBorder="1"/>
    <xf numFmtId="39" fontId="5" fillId="2" borderId="0" xfId="0" applyNumberFormat="1" applyFont="1" applyFill="1" applyBorder="1" applyAlignment="1">
      <alignment horizontal="center"/>
    </xf>
    <xf numFmtId="4" fontId="5" fillId="2" borderId="0" xfId="0" applyNumberFormat="1" applyFont="1" applyFill="1" applyBorder="1" applyAlignment="1"/>
    <xf numFmtId="165" fontId="5" fillId="2" borderId="0" xfId="0" applyNumberFormat="1" applyFont="1" applyFill="1" applyBorder="1" applyAlignment="1"/>
    <xf numFmtId="39" fontId="5" fillId="2" borderId="0" xfId="0" applyNumberFormat="1" applyFont="1" applyFill="1" applyBorder="1" applyAlignment="1"/>
    <xf numFmtId="10" fontId="5" fillId="2" borderId="0" xfId="0" applyNumberFormat="1" applyFont="1" applyFill="1" applyBorder="1" applyAlignment="1">
      <alignment horizontal="right"/>
    </xf>
    <xf numFmtId="4" fontId="5" fillId="2" borderId="6" xfId="0" applyNumberFormat="1" applyFont="1" applyFill="1" applyBorder="1" applyAlignment="1"/>
    <xf numFmtId="165" fontId="5" fillId="2" borderId="6" xfId="0" applyNumberFormat="1" applyFont="1" applyFill="1" applyBorder="1" applyAlignment="1"/>
    <xf numFmtId="39" fontId="3" fillId="2" borderId="6" xfId="0" applyNumberFormat="1" applyFont="1" applyFill="1" applyBorder="1" applyAlignment="1"/>
    <xf numFmtId="4" fontId="3" fillId="2" borderId="6" xfId="0" applyNumberFormat="1" applyFont="1" applyFill="1" applyBorder="1" applyAlignment="1"/>
    <xf numFmtId="39" fontId="5" fillId="2" borderId="6" xfId="0" applyNumberFormat="1" applyFont="1" applyFill="1" applyBorder="1" applyAlignment="1"/>
    <xf numFmtId="0" fontId="5" fillId="2" borderId="0" xfId="0" applyFont="1" applyFill="1" applyBorder="1" applyAlignment="1"/>
    <xf numFmtId="39" fontId="3" fillId="2" borderId="0" xfId="0" applyNumberFormat="1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center"/>
    </xf>
    <xf numFmtId="166" fontId="5" fillId="2" borderId="0" xfId="0" applyNumberFormat="1" applyFont="1" applyFill="1" applyBorder="1" applyAlignment="1"/>
    <xf numFmtId="0" fontId="8" fillId="2" borderId="0" xfId="0" applyFont="1" applyFill="1" applyBorder="1"/>
    <xf numFmtId="39" fontId="5" fillId="2" borderId="0" xfId="0" applyNumberFormat="1" applyFont="1" applyFill="1" applyBorder="1" applyAlignment="1">
      <alignment horizontal="right"/>
    </xf>
    <xf numFmtId="4" fontId="5" fillId="2" borderId="6" xfId="0" applyNumberFormat="1" applyFont="1" applyFill="1" applyBorder="1" applyAlignment="1">
      <alignment horizontal="right"/>
    </xf>
    <xf numFmtId="0" fontId="5" fillId="2" borderId="6" xfId="0" applyFont="1" applyFill="1" applyBorder="1" applyAlignment="1"/>
    <xf numFmtId="0" fontId="3" fillId="2" borderId="6" xfId="0" applyFont="1" applyFill="1" applyBorder="1" applyAlignment="1">
      <alignment horizontal="left"/>
    </xf>
    <xf numFmtId="0" fontId="5" fillId="2" borderId="0" xfId="0" applyFont="1" applyFill="1"/>
    <xf numFmtId="39" fontId="5" fillId="2" borderId="0" xfId="0" applyNumberFormat="1" applyFont="1" applyFill="1"/>
    <xf numFmtId="166" fontId="5" fillId="2" borderId="0" xfId="0" applyNumberFormat="1" applyFont="1" applyFill="1" applyBorder="1" applyAlignment="1">
      <alignment horizontal="center"/>
    </xf>
    <xf numFmtId="39" fontId="5" fillId="2" borderId="0" xfId="0" applyNumberFormat="1" applyFont="1" applyFill="1" applyBorder="1"/>
    <xf numFmtId="9" fontId="5" fillId="2" borderId="0" xfId="0" applyNumberFormat="1" applyFont="1" applyFill="1" applyBorder="1"/>
    <xf numFmtId="4" fontId="3" fillId="0" borderId="6" xfId="1" applyNumberFormat="1" applyFont="1" applyFill="1" applyBorder="1" applyAlignment="1"/>
    <xf numFmtId="166" fontId="5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4" fontId="5" fillId="2" borderId="0" xfId="0" applyNumberFormat="1" applyFont="1" applyFill="1" applyAlignment="1">
      <alignment horizontal="right"/>
    </xf>
    <xf numFmtId="166" fontId="5" fillId="2" borderId="0" xfId="0" applyNumberFormat="1" applyFont="1" applyFill="1" applyBorder="1"/>
    <xf numFmtId="0" fontId="3" fillId="2" borderId="0" xfId="0" applyFont="1" applyFill="1" applyAlignment="1">
      <alignment horizontal="left"/>
    </xf>
    <xf numFmtId="4" fontId="3" fillId="2" borderId="0" xfId="0" applyNumberFormat="1" applyFont="1" applyFill="1" applyAlignment="1">
      <alignment horizontal="right"/>
    </xf>
    <xf numFmtId="4" fontId="5" fillId="2" borderId="0" xfId="0" applyNumberFormat="1" applyFont="1" applyFill="1"/>
    <xf numFmtId="4" fontId="3" fillId="2" borderId="0" xfId="0" applyNumberFormat="1" applyFont="1" applyFill="1" applyBorder="1" applyAlignment="1">
      <alignment horizontal="center"/>
    </xf>
    <xf numFmtId="4" fontId="5" fillId="2" borderId="0" xfId="0" applyNumberFormat="1" applyFont="1" applyFill="1" applyBorder="1"/>
    <xf numFmtId="0" fontId="3" fillId="2" borderId="0" xfId="0" applyFont="1" applyFill="1"/>
    <xf numFmtId="2" fontId="3" fillId="2" borderId="0" xfId="0" applyNumberFormat="1" applyFont="1" applyFill="1"/>
    <xf numFmtId="0" fontId="3" fillId="2" borderId="0" xfId="0" applyFont="1" applyFill="1" applyAlignment="1">
      <alignment horizontal="center"/>
    </xf>
    <xf numFmtId="4" fontId="3" fillId="2" borderId="0" xfId="0" applyNumberFormat="1" applyFont="1" applyFill="1"/>
    <xf numFmtId="4" fontId="5" fillId="2" borderId="0" xfId="0" applyNumberFormat="1" applyFont="1" applyFill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164" fontId="5" fillId="2" borderId="0" xfId="1" applyFont="1" applyFill="1"/>
    <xf numFmtId="0" fontId="3" fillId="2" borderId="0" xfId="0" applyNumberFormat="1" applyFont="1" applyFill="1" applyBorder="1" applyAlignment="1">
      <alignment horizontal="left"/>
    </xf>
    <xf numFmtId="0" fontId="3" fillId="2" borderId="6" xfId="0" applyNumberFormat="1" applyFont="1" applyFill="1" applyBorder="1" applyAlignment="1">
      <alignment horizontal="center"/>
    </xf>
    <xf numFmtId="0" fontId="5" fillId="2" borderId="6" xfId="0" applyFont="1" applyFill="1" applyBorder="1"/>
    <xf numFmtId="4" fontId="5" fillId="2" borderId="6" xfId="0" applyNumberFormat="1" applyFont="1" applyFill="1" applyBorder="1"/>
    <xf numFmtId="0" fontId="3" fillId="2" borderId="0" xfId="0" applyNumberFormat="1" applyFont="1" applyFill="1" applyBorder="1" applyAlignment="1">
      <alignment horizontal="center"/>
    </xf>
    <xf numFmtId="0" fontId="5" fillId="3" borderId="0" xfId="0" applyFont="1" applyFill="1"/>
    <xf numFmtId="0" fontId="4" fillId="3" borderId="0" xfId="0" applyFont="1" applyFill="1"/>
    <xf numFmtId="164" fontId="0" fillId="0" borderId="0" xfId="3" applyFont="1"/>
    <xf numFmtId="0" fontId="0" fillId="0" borderId="0" xfId="0" applyFill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0" fillId="0" borderId="7" xfId="0" applyBorder="1"/>
    <xf numFmtId="0" fontId="0" fillId="0" borderId="2" xfId="0" applyBorder="1"/>
    <xf numFmtId="0" fontId="2" fillId="0" borderId="13" xfId="0" applyFont="1" applyBorder="1"/>
    <xf numFmtId="0" fontId="0" fillId="0" borderId="9" xfId="0" applyBorder="1"/>
    <xf numFmtId="0" fontId="0" fillId="0" borderId="5" xfId="0" applyBorder="1" applyAlignment="1">
      <alignment horizontal="center"/>
    </xf>
    <xf numFmtId="0" fontId="0" fillId="0" borderId="10" xfId="0" applyBorder="1"/>
    <xf numFmtId="0" fontId="2" fillId="0" borderId="9" xfId="0" applyFont="1" applyBorder="1"/>
    <xf numFmtId="4" fontId="0" fillId="0" borderId="5" xfId="0" applyNumberFormat="1" applyBorder="1" applyAlignment="1">
      <alignment horizontal="center"/>
    </xf>
    <xf numFmtId="0" fontId="2" fillId="0" borderId="3" xfId="0" applyFont="1" applyBorder="1"/>
    <xf numFmtId="4" fontId="2" fillId="0" borderId="1" xfId="0" applyNumberFormat="1" applyFont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0" fillId="0" borderId="0" xfId="0" applyFill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2" fillId="4" borderId="3" xfId="0" applyFont="1" applyFill="1" applyBorder="1"/>
    <xf numFmtId="0" fontId="0" fillId="4" borderId="4" xfId="0" applyFill="1" applyBorder="1"/>
    <xf numFmtId="4" fontId="3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64" fontId="5" fillId="2" borderId="0" xfId="0" applyNumberFormat="1" applyFont="1" applyFill="1"/>
    <xf numFmtId="164" fontId="3" fillId="2" borderId="0" xfId="1" applyFont="1" applyFill="1"/>
    <xf numFmtId="0" fontId="2" fillId="0" borderId="4" xfId="0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14" fontId="0" fillId="0" borderId="0" xfId="0" applyNumberFormat="1" applyAlignment="1">
      <alignment horizontal="center"/>
    </xf>
    <xf numFmtId="4" fontId="0" fillId="0" borderId="10" xfId="0" applyNumberForma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164" fontId="0" fillId="0" borderId="1" xfId="1" applyFont="1" applyBorder="1"/>
    <xf numFmtId="0" fontId="2" fillId="0" borderId="0" xfId="0" applyFont="1"/>
    <xf numFmtId="0" fontId="0" fillId="0" borderId="0" xfId="0" applyBorder="1"/>
    <xf numFmtId="4" fontId="0" fillId="0" borderId="0" xfId="0" applyNumberFormat="1" applyBorder="1" applyAlignment="1">
      <alignment horizontal="center"/>
    </xf>
    <xf numFmtId="0" fontId="0" fillId="4" borderId="1" xfId="0" applyFill="1" applyBorder="1"/>
    <xf numFmtId="4" fontId="2" fillId="0" borderId="10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2" fillId="0" borderId="7" xfId="0" applyFont="1" applyBorder="1"/>
    <xf numFmtId="0" fontId="0" fillId="0" borderId="8" xfId="0" applyBorder="1" applyAlignment="1">
      <alignment horizontal="center"/>
    </xf>
    <xf numFmtId="4" fontId="2" fillId="4" borderId="11" xfId="0" applyNumberFormat="1" applyFont="1" applyFill="1" applyBorder="1" applyAlignment="1">
      <alignment horizontal="center"/>
    </xf>
    <xf numFmtId="0" fontId="0" fillId="0" borderId="4" xfId="0" applyBorder="1"/>
    <xf numFmtId="164" fontId="5" fillId="0" borderId="6" xfId="1" applyFont="1" applyFill="1" applyBorder="1"/>
    <xf numFmtId="164" fontId="5" fillId="0" borderId="0" xfId="1" applyFont="1" applyFill="1"/>
    <xf numFmtId="164" fontId="0" fillId="0" borderId="5" xfId="1" applyFont="1" applyBorder="1" applyAlignment="1">
      <alignment horizontal="center"/>
    </xf>
    <xf numFmtId="0" fontId="0" fillId="0" borderId="12" xfId="0" applyBorder="1"/>
    <xf numFmtId="0" fontId="0" fillId="0" borderId="0" xfId="0" applyBorder="1" applyAlignment="1">
      <alignment horizontal="center"/>
    </xf>
    <xf numFmtId="0" fontId="5" fillId="0" borderId="0" xfId="0" applyFont="1" applyFill="1" applyBorder="1"/>
    <xf numFmtId="4" fontId="5" fillId="0" borderId="0" xfId="0" applyNumberFormat="1" applyFont="1" applyFill="1" applyBorder="1" applyAlignment="1"/>
    <xf numFmtId="4" fontId="0" fillId="0" borderId="5" xfId="0" applyNumberForma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right"/>
    </xf>
    <xf numFmtId="4" fontId="0" fillId="0" borderId="9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9" fontId="0" fillId="0" borderId="0" xfId="0" applyNumberFormat="1"/>
    <xf numFmtId="0" fontId="10" fillId="7" borderId="0" xfId="0" applyFont="1" applyFill="1"/>
    <xf numFmtId="0" fontId="0" fillId="5" borderId="0" xfId="0" applyFill="1"/>
    <xf numFmtId="0" fontId="0" fillId="9" borderId="0" xfId="0" applyFill="1"/>
    <xf numFmtId="0" fontId="0" fillId="5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5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7" borderId="0" xfId="0" applyFill="1"/>
    <xf numFmtId="43" fontId="0" fillId="0" borderId="0" xfId="0" applyNumberFormat="1"/>
    <xf numFmtId="0" fontId="0" fillId="0" borderId="14" xfId="0" applyBorder="1"/>
    <xf numFmtId="0" fontId="0" fillId="0" borderId="15" xfId="0" applyBorder="1"/>
    <xf numFmtId="164" fontId="0" fillId="0" borderId="16" xfId="1" applyFont="1" applyBorder="1"/>
    <xf numFmtId="0" fontId="0" fillId="0" borderId="17" xfId="0" applyBorder="1"/>
    <xf numFmtId="164" fontId="0" fillId="0" borderId="18" xfId="1" applyFont="1" applyBorder="1"/>
    <xf numFmtId="43" fontId="0" fillId="0" borderId="18" xfId="0" applyNumberFormat="1" applyBorder="1"/>
    <xf numFmtId="164" fontId="0" fillId="0" borderId="18" xfId="0" applyNumberFormat="1" applyBorder="1"/>
    <xf numFmtId="0" fontId="0" fillId="0" borderId="19" xfId="0" applyBorder="1"/>
    <xf numFmtId="43" fontId="0" fillId="0" borderId="21" xfId="0" applyNumberFormat="1" applyBorder="1"/>
    <xf numFmtId="0" fontId="0" fillId="8" borderId="22" xfId="0" applyFill="1" applyBorder="1"/>
    <xf numFmtId="0" fontId="0" fillId="8" borderId="23" xfId="0" applyFill="1" applyBorder="1"/>
    <xf numFmtId="164" fontId="0" fillId="8" borderId="24" xfId="1" applyFont="1" applyFill="1" applyBorder="1"/>
    <xf numFmtId="164" fontId="0" fillId="0" borderId="12" xfId="0" applyNumberFormat="1" applyBorder="1"/>
    <xf numFmtId="164" fontId="11" fillId="11" borderId="12" xfId="0" applyNumberFormat="1" applyFont="1" applyFill="1" applyBorder="1"/>
    <xf numFmtId="0" fontId="0" fillId="0" borderId="16" xfId="0" applyBorder="1"/>
    <xf numFmtId="0" fontId="0" fillId="0" borderId="18" xfId="0" applyBorder="1"/>
    <xf numFmtId="9" fontId="0" fillId="0" borderId="1" xfId="0" applyNumberFormat="1" applyBorder="1"/>
    <xf numFmtId="164" fontId="0" fillId="0" borderId="3" xfId="1" applyFont="1" applyBorder="1" applyAlignment="1">
      <alignment horizontal="center"/>
    </xf>
    <xf numFmtId="0" fontId="0" fillId="0" borderId="10" xfId="0" applyFill="1" applyBorder="1"/>
    <xf numFmtId="0" fontId="0" fillId="0" borderId="27" xfId="0" applyFill="1" applyBorder="1" applyAlignment="1">
      <alignment horizontal="center"/>
    </xf>
    <xf numFmtId="0" fontId="0" fillId="0" borderId="28" xfId="0" applyFill="1" applyBorder="1"/>
    <xf numFmtId="49" fontId="14" fillId="0" borderId="1" xfId="0" applyNumberFormat="1" applyFont="1" applyFill="1" applyBorder="1" applyAlignment="1">
      <alignment horizontal="center"/>
    </xf>
    <xf numFmtId="4" fontId="0" fillId="0" borderId="20" xfId="0" applyNumberFormat="1" applyFill="1" applyBorder="1" applyAlignment="1">
      <alignment horizontal="center"/>
    </xf>
    <xf numFmtId="17" fontId="0" fillId="0" borderId="20" xfId="0" applyNumberFormat="1" applyFill="1" applyBorder="1" applyAlignment="1">
      <alignment horizontal="center"/>
    </xf>
    <xf numFmtId="4" fontId="2" fillId="0" borderId="20" xfId="0" applyNumberFormat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" fontId="11" fillId="11" borderId="21" xfId="0" applyNumberFormat="1" applyFont="1" applyFill="1" applyBorder="1" applyAlignment="1">
      <alignment horizontal="center"/>
    </xf>
    <xf numFmtId="3" fontId="15" fillId="11" borderId="20" xfId="0" applyNumberFormat="1" applyFont="1" applyFill="1" applyBorder="1" applyAlignment="1">
      <alignment horizontal="right"/>
    </xf>
    <xf numFmtId="0" fontId="0" fillId="0" borderId="21" xfId="0" applyBorder="1"/>
    <xf numFmtId="0" fontId="2" fillId="0" borderId="17" xfId="0" applyFont="1" applyBorder="1"/>
    <xf numFmtId="0" fontId="17" fillId="12" borderId="0" xfId="0" applyFont="1" applyFill="1" applyAlignment="1">
      <alignment horizontal="center" vertical="center" wrapText="1"/>
    </xf>
    <xf numFmtId="0" fontId="18" fillId="13" borderId="34" xfId="0" applyFont="1" applyFill="1" applyBorder="1" applyAlignment="1">
      <alignment horizontal="right" shrinkToFit="1"/>
    </xf>
    <xf numFmtId="0" fontId="18" fillId="2" borderId="34" xfId="0" applyFont="1" applyFill="1" applyBorder="1" applyAlignment="1">
      <alignment horizontal="right" shrinkToFit="1"/>
    </xf>
    <xf numFmtId="164" fontId="2" fillId="0" borderId="0" xfId="1" applyFont="1"/>
    <xf numFmtId="0" fontId="11" fillId="10" borderId="0" xfId="0" applyFont="1" applyFill="1"/>
    <xf numFmtId="164" fontId="11" fillId="10" borderId="0" xfId="1" applyFont="1" applyFill="1"/>
    <xf numFmtId="0" fontId="0" fillId="0" borderId="0" xfId="0" applyFont="1" applyBorder="1"/>
    <xf numFmtId="164" fontId="0" fillId="0" borderId="9" xfId="1" applyFont="1" applyBorder="1"/>
    <xf numFmtId="4" fontId="2" fillId="5" borderId="1" xfId="0" applyNumberFormat="1" applyFont="1" applyFill="1" applyBorder="1" applyAlignment="1">
      <alignment horizontal="center"/>
    </xf>
    <xf numFmtId="4" fontId="0" fillId="0" borderId="12" xfId="0" applyNumberFormat="1" applyFill="1" applyBorder="1"/>
    <xf numFmtId="10" fontId="5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/>
    <xf numFmtId="39" fontId="5" fillId="0" borderId="0" xfId="0" applyNumberFormat="1" applyFont="1" applyFill="1" applyBorder="1" applyAlignment="1"/>
    <xf numFmtId="14" fontId="0" fillId="5" borderId="0" xfId="0" applyNumberFormat="1" applyFill="1" applyAlignment="1">
      <alignment horizontal="center"/>
    </xf>
    <xf numFmtId="164" fontId="0" fillId="5" borderId="0" xfId="1" applyFont="1" applyFill="1" applyAlignment="1">
      <alignment horizontal="center"/>
    </xf>
    <xf numFmtId="44" fontId="0" fillId="5" borderId="0" xfId="4" applyNumberFormat="1" applyFont="1" applyFill="1"/>
    <xf numFmtId="9" fontId="0" fillId="5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  <xf numFmtId="164" fontId="0" fillId="5" borderId="0" xfId="1" applyFont="1" applyFill="1"/>
    <xf numFmtId="9" fontId="0" fillId="5" borderId="0" xfId="5" applyFont="1" applyFill="1"/>
    <xf numFmtId="14" fontId="0" fillId="7" borderId="0" xfId="0" applyNumberFormat="1" applyFill="1" applyAlignment="1">
      <alignment horizontal="center"/>
    </xf>
    <xf numFmtId="164" fontId="0" fillId="7" borderId="0" xfId="1" applyFont="1" applyFill="1" applyAlignment="1">
      <alignment horizontal="center"/>
    </xf>
    <xf numFmtId="9" fontId="0" fillId="7" borderId="0" xfId="0" applyNumberFormat="1" applyFill="1" applyAlignment="1">
      <alignment horizontal="center"/>
    </xf>
    <xf numFmtId="164" fontId="0" fillId="7" borderId="0" xfId="0" applyNumberFormat="1" applyFill="1" applyAlignment="1">
      <alignment horizontal="center"/>
    </xf>
    <xf numFmtId="164" fontId="0" fillId="7" borderId="0" xfId="1" applyFont="1" applyFill="1"/>
    <xf numFmtId="4" fontId="0" fillId="5" borderId="0" xfId="0" applyNumberFormat="1" applyFill="1" applyAlignment="1">
      <alignment horizontal="center"/>
    </xf>
    <xf numFmtId="44" fontId="0" fillId="0" borderId="0" xfId="4" applyFont="1"/>
    <xf numFmtId="44" fontId="0" fillId="0" borderId="20" xfId="4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49" fontId="14" fillId="0" borderId="40" xfId="0" applyNumberFormat="1" applyFont="1" applyFill="1" applyBorder="1" applyAlignment="1">
      <alignment horizontal="center"/>
    </xf>
    <xf numFmtId="49" fontId="14" fillId="0" borderId="41" xfId="0" applyNumberFormat="1" applyFont="1" applyFill="1" applyBorder="1" applyAlignment="1">
      <alignment horizontal="center"/>
    </xf>
    <xf numFmtId="49" fontId="19" fillId="0" borderId="32" xfId="0" applyNumberFormat="1" applyFont="1" applyFill="1" applyBorder="1" applyAlignment="1">
      <alignment horizontal="center"/>
    </xf>
    <xf numFmtId="49" fontId="20" fillId="0" borderId="20" xfId="0" applyNumberFormat="1" applyFont="1" applyFill="1" applyBorder="1" applyAlignment="1">
      <alignment horizontal="center"/>
    </xf>
    <xf numFmtId="49" fontId="19" fillId="0" borderId="20" xfId="0" applyNumberFormat="1" applyFont="1" applyFill="1" applyBorder="1" applyAlignment="1">
      <alignment horizontal="center"/>
    </xf>
    <xf numFmtId="49" fontId="19" fillId="0" borderId="33" xfId="0" applyNumberFormat="1" applyFont="1" applyFill="1" applyBorder="1" applyAlignment="1">
      <alignment horizontal="center"/>
    </xf>
    <xf numFmtId="49" fontId="19" fillId="0" borderId="20" xfId="0" applyNumberFormat="1" applyFont="1" applyFill="1" applyBorder="1"/>
    <xf numFmtId="49" fontId="21" fillId="0" borderId="33" xfId="0" applyNumberFormat="1" applyFont="1" applyFill="1" applyBorder="1"/>
    <xf numFmtId="3" fontId="19" fillId="0" borderId="33" xfId="0" applyNumberFormat="1" applyFont="1" applyFill="1" applyBorder="1" applyAlignment="1">
      <alignment horizontal="right"/>
    </xf>
    <xf numFmtId="3" fontId="19" fillId="0" borderId="42" xfId="0" applyNumberFormat="1" applyFont="1" applyFill="1" applyBorder="1" applyAlignment="1">
      <alignment horizontal="right"/>
    </xf>
    <xf numFmtId="0" fontId="0" fillId="0" borderId="19" xfId="0" applyFill="1" applyBorder="1"/>
    <xf numFmtId="44" fontId="0" fillId="0" borderId="20" xfId="4" applyFont="1" applyBorder="1"/>
    <xf numFmtId="3" fontId="0" fillId="0" borderId="20" xfId="0" applyNumberFormat="1" applyBorder="1"/>
    <xf numFmtId="0" fontId="0" fillId="0" borderId="20" xfId="0" applyBorder="1"/>
    <xf numFmtId="4" fontId="11" fillId="11" borderId="35" xfId="0" applyNumberFormat="1" applyFont="1" applyFill="1" applyBorder="1" applyAlignment="1">
      <alignment horizontal="center"/>
    </xf>
    <xf numFmtId="44" fontId="0" fillId="0" borderId="0" xfId="0" applyNumberFormat="1"/>
    <xf numFmtId="167" fontId="0" fillId="0" borderId="0" xfId="0" applyNumberFormat="1"/>
    <xf numFmtId="0" fontId="23" fillId="0" borderId="0" xfId="0" applyFont="1" applyAlignment="1">
      <alignment horizontal="left" vertical="center" wrapText="1" indent="1"/>
    </xf>
    <xf numFmtId="0" fontId="24" fillId="0" borderId="0" xfId="0" applyFont="1" applyAlignment="1">
      <alignment horizontal="left" vertical="center" wrapText="1" indent="1"/>
    </xf>
    <xf numFmtId="0" fontId="25" fillId="0" borderId="0" xfId="0" applyFont="1"/>
    <xf numFmtId="4" fontId="24" fillId="0" borderId="0" xfId="0" applyNumberFormat="1" applyFont="1" applyAlignment="1">
      <alignment horizontal="left" vertical="center" wrapText="1" indent="1"/>
    </xf>
    <xf numFmtId="10" fontId="24" fillId="0" borderId="0" xfId="0" applyNumberFormat="1" applyFont="1" applyAlignment="1">
      <alignment horizontal="left" vertical="center" wrapText="1" indent="1"/>
    </xf>
    <xf numFmtId="14" fontId="24" fillId="0" borderId="0" xfId="0" applyNumberFormat="1" applyFont="1" applyAlignment="1">
      <alignment horizontal="left" vertical="center" wrapText="1" indent="1"/>
    </xf>
    <xf numFmtId="0" fontId="18" fillId="0" borderId="0" xfId="0" applyFont="1" applyFill="1" applyBorder="1" applyAlignment="1">
      <alignment horizontal="right" shrinkToFit="1"/>
    </xf>
    <xf numFmtId="168" fontId="18" fillId="0" borderId="0" xfId="0" applyNumberFormat="1" applyFont="1" applyFill="1" applyBorder="1" applyAlignment="1">
      <alignment horizontal="right" shrinkToFit="1"/>
    </xf>
    <xf numFmtId="0" fontId="2" fillId="0" borderId="43" xfId="0" applyFont="1" applyBorder="1"/>
    <xf numFmtId="0" fontId="2" fillId="0" borderId="1" xfId="0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167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44" xfId="0" applyBorder="1"/>
    <xf numFmtId="0" fontId="0" fillId="0" borderId="45" xfId="0" applyBorder="1"/>
    <xf numFmtId="0" fontId="2" fillId="0" borderId="41" xfId="0" applyFont="1" applyBorder="1" applyAlignment="1">
      <alignment horizontal="center" vertical="center"/>
    </xf>
    <xf numFmtId="167" fontId="2" fillId="0" borderId="31" xfId="0" applyNumberFormat="1" applyFont="1" applyBorder="1" applyAlignment="1">
      <alignment horizontal="center" vertical="center" wrapText="1"/>
    </xf>
    <xf numFmtId="0" fontId="2" fillId="0" borderId="41" xfId="0" applyFont="1" applyBorder="1"/>
    <xf numFmtId="0" fontId="0" fillId="0" borderId="31" xfId="0" applyBorder="1"/>
    <xf numFmtId="0" fontId="0" fillId="0" borderId="41" xfId="0" applyBorder="1"/>
    <xf numFmtId="167" fontId="0" fillId="0" borderId="31" xfId="0" applyNumberFormat="1" applyBorder="1"/>
    <xf numFmtId="0" fontId="2" fillId="0" borderId="46" xfId="0" applyFont="1" applyBorder="1"/>
    <xf numFmtId="0" fontId="0" fillId="0" borderId="47" xfId="0" applyBorder="1"/>
    <xf numFmtId="0" fontId="0" fillId="0" borderId="47" xfId="0" applyBorder="1" applyAlignment="1">
      <alignment horizontal="center"/>
    </xf>
    <xf numFmtId="1" fontId="0" fillId="0" borderId="47" xfId="0" applyNumberFormat="1" applyBorder="1" applyAlignment="1">
      <alignment horizontal="left"/>
    </xf>
    <xf numFmtId="167" fontId="0" fillId="0" borderId="47" xfId="0" applyNumberFormat="1" applyBorder="1"/>
    <xf numFmtId="0" fontId="0" fillId="0" borderId="48" xfId="0" applyBorder="1"/>
    <xf numFmtId="169" fontId="0" fillId="0" borderId="0" xfId="0" applyNumberFormat="1"/>
    <xf numFmtId="0" fontId="0" fillId="8" borderId="1" xfId="0" applyFill="1" applyBorder="1"/>
    <xf numFmtId="0" fontId="10" fillId="8" borderId="1" xfId="0" applyFont="1" applyFill="1" applyBorder="1" applyAlignment="1">
      <alignment horizontal="center" vertical="center" wrapText="1"/>
    </xf>
    <xf numFmtId="0" fontId="0" fillId="8" borderId="47" xfId="0" applyFill="1" applyBorder="1"/>
    <xf numFmtId="164" fontId="2" fillId="0" borderId="0" xfId="0" applyNumberFormat="1" applyFont="1"/>
    <xf numFmtId="0" fontId="26" fillId="11" borderId="22" xfId="0" applyFont="1" applyFill="1" applyBorder="1"/>
    <xf numFmtId="164" fontId="26" fillId="11" borderId="35" xfId="0" applyNumberFormat="1" applyFont="1" applyFill="1" applyBorder="1"/>
    <xf numFmtId="0" fontId="2" fillId="0" borderId="0" xfId="0" applyFont="1" applyBorder="1"/>
    <xf numFmtId="0" fontId="2" fillId="0" borderId="0" xfId="0" applyFont="1" applyFill="1" applyAlignment="1">
      <alignment horizontal="left"/>
    </xf>
    <xf numFmtId="164" fontId="0" fillId="0" borderId="5" xfId="1" applyFont="1" applyBorder="1"/>
    <xf numFmtId="164" fontId="0" fillId="0" borderId="10" xfId="1" applyFont="1" applyBorder="1"/>
    <xf numFmtId="164" fontId="0" fillId="0" borderId="10" xfId="1" applyFont="1" applyBorder="1" applyAlignment="1">
      <alignment horizontal="center"/>
    </xf>
    <xf numFmtId="0" fontId="27" fillId="0" borderId="9" xfId="0" applyFont="1" applyBorder="1"/>
    <xf numFmtId="0" fontId="0" fillId="0" borderId="9" xfId="0" applyFont="1" applyBorder="1"/>
    <xf numFmtId="164" fontId="0" fillId="3" borderId="0" xfId="0" applyNumberFormat="1" applyFill="1"/>
    <xf numFmtId="0" fontId="0" fillId="3" borderId="0" xfId="0" applyFill="1"/>
    <xf numFmtId="0" fontId="2" fillId="3" borderId="9" xfId="0" applyFont="1" applyFill="1" applyBorder="1"/>
    <xf numFmtId="4" fontId="2" fillId="3" borderId="5" xfId="0" applyNumberFormat="1" applyFont="1" applyFill="1" applyBorder="1" applyAlignment="1">
      <alignment horizontal="center"/>
    </xf>
    <xf numFmtId="4" fontId="0" fillId="3" borderId="5" xfId="0" applyNumberFormat="1" applyFont="1" applyFill="1" applyBorder="1" applyAlignment="1">
      <alignment horizontal="center"/>
    </xf>
    <xf numFmtId="0" fontId="5" fillId="6" borderId="0" xfId="0" applyFont="1" applyFill="1"/>
    <xf numFmtId="0" fontId="0" fillId="9" borderId="0" xfId="0" applyFill="1" applyAlignment="1">
      <alignment horizontal="center"/>
    </xf>
    <xf numFmtId="164" fontId="0" fillId="9" borderId="0" xfId="0" applyNumberFormat="1" applyFill="1" applyAlignment="1">
      <alignment horizontal="center"/>
    </xf>
    <xf numFmtId="9" fontId="0" fillId="9" borderId="0" xfId="5" applyFont="1" applyFill="1" applyAlignment="1">
      <alignment horizontal="center"/>
    </xf>
    <xf numFmtId="14" fontId="0" fillId="9" borderId="0" xfId="0" applyNumberFormat="1" applyFill="1" applyAlignment="1">
      <alignment horizontal="center"/>
    </xf>
    <xf numFmtId="0" fontId="28" fillId="0" borderId="0" xfId="0" applyFont="1"/>
    <xf numFmtId="0" fontId="3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4" fillId="0" borderId="36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0" fontId="14" fillId="0" borderId="30" xfId="0" applyFont="1" applyFill="1" applyBorder="1" applyAlignment="1">
      <alignment horizontal="center"/>
    </xf>
    <xf numFmtId="0" fontId="14" fillId="0" borderId="38" xfId="0" applyFont="1" applyFill="1" applyBorder="1" applyAlignment="1">
      <alignment horizontal="center"/>
    </xf>
    <xf numFmtId="0" fontId="14" fillId="0" borderId="3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164" fontId="0" fillId="0" borderId="0" xfId="1" applyFont="1" applyAlignment="1">
      <alignment horizontal="center"/>
    </xf>
    <xf numFmtId="0" fontId="22" fillId="0" borderId="0" xfId="0" applyFont="1" applyAlignment="1">
      <alignment horizontal="center" vertical="center" wrapText="1"/>
    </xf>
  </cellXfs>
  <cellStyles count="6">
    <cellStyle name="Millares" xfId="1" builtinId="3"/>
    <cellStyle name="Millares 2" xfId="3"/>
    <cellStyle name="Moneda" xfId="4" builtinId="4"/>
    <cellStyle name="Normal" xfId="0" builtinId="0"/>
    <cellStyle name="Normal 2" xfId="2"/>
    <cellStyle name="Porcentual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3048000</xdr:colOff>
      <xdr:row>4</xdr:row>
      <xdr:rowOff>142875</xdr:rowOff>
    </xdr:from>
    <xdr:to>
      <xdr:col>13</xdr:col>
      <xdr:colOff>295275</xdr:colOff>
      <xdr:row>6</xdr:row>
      <xdr:rowOff>152400</xdr:rowOff>
    </xdr:to>
    <xdr:sp macro="" textlink="">
      <xdr:nvSpPr>
        <xdr:cNvPr id="2" name="1 CuadroTexto"/>
        <xdr:cNvSpPr txBox="1"/>
      </xdr:nvSpPr>
      <xdr:spPr>
        <a:xfrm>
          <a:off x="14630400" y="2571750"/>
          <a:ext cx="1876425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A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nancias%20y%20Bienes%20Personales%202016/Gomila%20Sebastian/IMPUESTO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anancias%20y%20Bienes%20Personales%202016/Canale%20Bruno/IIGG%20Canale%20Bruno%20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VA 2016"/>
      <sheetName val="Hoja3"/>
      <sheetName val="INGRESOS POR ALQUILERES"/>
      <sheetName val="INMUEBLES ALQUILADOS"/>
    </sheetNames>
    <sheetDataSet>
      <sheetData sheetId="0">
        <row r="9">
          <cell r="N9">
            <v>210361.68166666667</v>
          </cell>
        </row>
      </sheetData>
      <sheetData sheetId="1" refreshError="1"/>
      <sheetData sheetId="2">
        <row r="68">
          <cell r="I68">
            <v>261100</v>
          </cell>
        </row>
        <row r="69">
          <cell r="I69">
            <v>-27860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16 Ganancias"/>
      <sheetName val="2016 Bienes"/>
      <sheetName val="Unipersonal"/>
    </sheetNames>
    <sheetDataSet>
      <sheetData sheetId="0">
        <row r="67">
          <cell r="D67">
            <v>891041.4766666668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8"/>
  <sheetViews>
    <sheetView workbookViewId="0">
      <selection activeCell="A74" sqref="A74"/>
    </sheetView>
  </sheetViews>
  <sheetFormatPr baseColWidth="10" defaultRowHeight="15"/>
  <cols>
    <col min="1" max="1" width="37.5703125" customWidth="1"/>
    <col min="3" max="3" width="15.7109375" customWidth="1"/>
    <col min="4" max="4" width="15.85546875" customWidth="1"/>
    <col min="5" max="5" width="13" bestFit="1" customWidth="1"/>
    <col min="6" max="6" width="14" customWidth="1"/>
    <col min="7" max="7" width="13.5703125" bestFit="1" customWidth="1"/>
    <col min="8" max="8" width="20" customWidth="1"/>
    <col min="9" max="9" width="19.5703125" customWidth="1"/>
    <col min="10" max="10" width="13" bestFit="1" customWidth="1"/>
    <col min="11" max="11" width="46.5703125" bestFit="1" customWidth="1"/>
  </cols>
  <sheetData>
    <row r="1" spans="1:15" ht="40.5" customHeight="1">
      <c r="A1" s="283" t="s">
        <v>283</v>
      </c>
      <c r="D1" s="283"/>
      <c r="G1" s="283"/>
    </row>
    <row r="3" spans="1:15" ht="38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287" t="s">
        <v>5</v>
      </c>
      <c r="G3" s="288"/>
      <c r="H3" s="3" t="s">
        <v>6</v>
      </c>
      <c r="I3" s="5" t="s">
        <v>7</v>
      </c>
    </row>
    <row r="4" spans="1:15">
      <c r="A4" s="6"/>
      <c r="B4" s="6"/>
      <c r="C4" s="7"/>
      <c r="D4" s="7"/>
      <c r="E4" s="7"/>
      <c r="F4" s="8" t="s">
        <v>8</v>
      </c>
      <c r="G4" s="8" t="s">
        <v>9</v>
      </c>
      <c r="H4" s="9"/>
      <c r="I4" s="10"/>
    </row>
    <row r="5" spans="1:15">
      <c r="A5" s="11" t="s">
        <v>10</v>
      </c>
      <c r="B5" s="11"/>
      <c r="C5" s="12"/>
      <c r="D5" s="13"/>
      <c r="E5" s="13"/>
      <c r="F5" s="14"/>
      <c r="G5" s="13"/>
      <c r="H5" s="14"/>
      <c r="I5" s="15"/>
    </row>
    <row r="6" spans="1:15" ht="31.5">
      <c r="A6" s="16" t="s">
        <v>11</v>
      </c>
      <c r="B6" s="17"/>
      <c r="C6" s="14"/>
      <c r="D6" s="14"/>
      <c r="E6" s="14"/>
      <c r="F6" s="14"/>
      <c r="G6" s="14"/>
      <c r="H6" s="14"/>
      <c r="I6" s="15"/>
      <c r="O6" s="283" t="s">
        <v>283</v>
      </c>
    </row>
    <row r="7" spans="1:15">
      <c r="A7" s="7" t="s">
        <v>12</v>
      </c>
      <c r="B7" s="9"/>
      <c r="C7" s="18">
        <f>+'[1]INGRESOS POR ALQUILERES'!$I$68</f>
        <v>261100</v>
      </c>
      <c r="D7" s="18">
        <v>0</v>
      </c>
      <c r="E7" s="18">
        <v>0</v>
      </c>
      <c r="F7" s="18">
        <v>0</v>
      </c>
      <c r="G7" s="18">
        <v>272511.55</v>
      </c>
      <c r="H7" s="18">
        <f>+C7+E7+G7</f>
        <v>533611.55000000005</v>
      </c>
      <c r="I7" s="28">
        <v>0</v>
      </c>
    </row>
    <row r="8" spans="1:15">
      <c r="A8" s="16" t="s">
        <v>13</v>
      </c>
      <c r="B8" s="17"/>
      <c r="C8" s="18">
        <f>+'[1]INGRESOS POR ALQUILERES'!$I$69</f>
        <v>-27860</v>
      </c>
      <c r="D8" s="18">
        <v>0</v>
      </c>
      <c r="E8" s="18"/>
      <c r="F8" s="18"/>
      <c r="G8" s="18">
        <v>-50872.800000000003</v>
      </c>
      <c r="H8" s="18">
        <f>SUM(C8:G8)</f>
        <v>-78732.800000000003</v>
      </c>
      <c r="I8" s="19"/>
    </row>
    <row r="9" spans="1:15">
      <c r="A9" s="7" t="s">
        <v>14</v>
      </c>
      <c r="B9" s="17"/>
      <c r="C9" s="18"/>
      <c r="D9" s="18"/>
      <c r="E9" s="18"/>
      <c r="F9" s="18"/>
      <c r="G9" s="18"/>
      <c r="H9" s="18"/>
      <c r="I9" s="19"/>
    </row>
    <row r="10" spans="1:15" ht="15.75" thickBot="1">
      <c r="A10" s="20" t="s">
        <v>15</v>
      </c>
      <c r="B10" s="21"/>
      <c r="C10" s="22">
        <f t="shared" ref="C10:G10" si="0">SUM(C7:C9)</f>
        <v>233240</v>
      </c>
      <c r="D10" s="22">
        <f t="shared" si="0"/>
        <v>0</v>
      </c>
      <c r="E10" s="22">
        <f t="shared" si="0"/>
        <v>0</v>
      </c>
      <c r="F10" s="22">
        <f t="shared" si="0"/>
        <v>0</v>
      </c>
      <c r="G10" s="22">
        <f t="shared" si="0"/>
        <v>221638.75</v>
      </c>
      <c r="H10" s="106">
        <f>SUM(H7:H9)</f>
        <v>454878.75000000006</v>
      </c>
      <c r="I10" s="23"/>
    </row>
    <row r="11" spans="1:15" ht="15.75" thickTop="1">
      <c r="A11" s="24"/>
      <c r="B11" s="25"/>
      <c r="C11" s="25"/>
      <c r="D11" s="26"/>
      <c r="E11" s="26"/>
      <c r="F11" s="2"/>
      <c r="G11" s="2"/>
    </row>
    <row r="12" spans="1:15">
      <c r="A12" s="24"/>
      <c r="B12" s="25"/>
      <c r="C12" s="25"/>
      <c r="D12" s="26"/>
      <c r="E12" s="26"/>
      <c r="F12" s="2"/>
      <c r="G12" s="2"/>
    </row>
    <row r="13" spans="1:15">
      <c r="A13" s="27" t="s">
        <v>16</v>
      </c>
      <c r="B13" s="27"/>
      <c r="C13" s="28"/>
      <c r="D13" s="29"/>
      <c r="E13" s="29"/>
      <c r="F13" s="28"/>
      <c r="G13" s="28"/>
      <c r="H13" s="15"/>
      <c r="I13" s="29"/>
    </row>
    <row r="14" spans="1:15">
      <c r="A14" s="30" t="s">
        <v>17</v>
      </c>
      <c r="B14" s="31"/>
      <c r="C14" s="28"/>
      <c r="D14" s="29"/>
      <c r="E14" s="32"/>
      <c r="F14" s="28"/>
      <c r="G14" s="28"/>
      <c r="H14" s="139">
        <v>22784.06</v>
      </c>
      <c r="I14" s="32"/>
      <c r="J14" s="85">
        <f>+H10-H14-H15-H17</f>
        <v>389776.69000000006</v>
      </c>
      <c r="K14" s="85"/>
    </row>
    <row r="15" spans="1:15">
      <c r="A15" s="30" t="s">
        <v>18</v>
      </c>
      <c r="B15" s="19">
        <v>42318</v>
      </c>
      <c r="C15" s="33"/>
      <c r="D15" s="34"/>
      <c r="E15" s="35"/>
      <c r="F15" s="33"/>
      <c r="G15" s="33"/>
      <c r="H15" s="33">
        <f>+B15</f>
        <v>42318</v>
      </c>
      <c r="I15" s="33"/>
    </row>
    <row r="16" spans="1:15">
      <c r="A16" s="136" t="s">
        <v>19</v>
      </c>
      <c r="B16" s="194">
        <v>0.05</v>
      </c>
      <c r="C16" s="137"/>
      <c r="D16" s="195"/>
      <c r="E16" s="196"/>
      <c r="F16" s="137"/>
      <c r="G16" s="137"/>
      <c r="H16" s="137">
        <v>0</v>
      </c>
      <c r="I16" s="33"/>
    </row>
    <row r="17" spans="1:9">
      <c r="A17" s="30" t="s">
        <v>20</v>
      </c>
      <c r="B17" s="19" t="s">
        <v>21</v>
      </c>
      <c r="C17" s="33"/>
      <c r="D17" s="34"/>
      <c r="E17" s="35"/>
      <c r="F17" s="33"/>
      <c r="G17" s="33"/>
      <c r="H17" s="33">
        <v>0</v>
      </c>
      <c r="I17" s="33"/>
    </row>
    <row r="18" spans="1:9">
      <c r="A18" s="30" t="s">
        <v>22</v>
      </c>
      <c r="B18" s="19">
        <v>996.23</v>
      </c>
      <c r="C18" s="33"/>
      <c r="D18" s="34"/>
      <c r="E18" s="35"/>
      <c r="F18" s="33"/>
      <c r="G18" s="33"/>
      <c r="H18" s="33">
        <v>0</v>
      </c>
      <c r="I18" s="33"/>
    </row>
    <row r="19" spans="1:9" ht="15.75" thickBot="1">
      <c r="A19" s="20" t="s">
        <v>23</v>
      </c>
      <c r="B19" s="21"/>
      <c r="C19" s="37"/>
      <c r="D19" s="38"/>
      <c r="E19" s="39"/>
      <c r="F19" s="40"/>
      <c r="G19" s="41"/>
      <c r="H19" s="40">
        <f>+H11-H14-H16-H17-H15</f>
        <v>-65102.06</v>
      </c>
      <c r="I19" s="35"/>
    </row>
    <row r="20" spans="1:9" ht="15.75" thickTop="1">
      <c r="A20" s="30"/>
      <c r="B20" s="10"/>
      <c r="C20" s="33"/>
      <c r="D20" s="34"/>
      <c r="E20" s="34"/>
      <c r="F20" s="33"/>
      <c r="G20" s="34"/>
      <c r="H20" s="33"/>
      <c r="I20" s="34"/>
    </row>
    <row r="21" spans="1:9">
      <c r="A21" s="30" t="s">
        <v>24</v>
      </c>
      <c r="B21" s="10"/>
      <c r="C21" s="33"/>
      <c r="D21" s="34"/>
      <c r="E21" s="34"/>
      <c r="F21" s="33"/>
      <c r="G21" s="34"/>
      <c r="H21" s="33"/>
      <c r="I21" s="34"/>
    </row>
    <row r="22" spans="1:9" ht="15.75" thickBot="1">
      <c r="A22" s="20" t="s">
        <v>25</v>
      </c>
      <c r="B22" s="21"/>
      <c r="C22" s="37"/>
      <c r="D22" s="38"/>
      <c r="E22" s="39"/>
      <c r="F22" s="40"/>
      <c r="G22" s="39"/>
      <c r="H22" s="40">
        <f>+H19+H10</f>
        <v>389776.69000000006</v>
      </c>
      <c r="I22" s="35"/>
    </row>
    <row r="23" spans="1:9" ht="15.75" thickTop="1">
      <c r="A23" s="30"/>
      <c r="B23" s="10"/>
      <c r="C23" s="33"/>
      <c r="D23" s="42"/>
      <c r="E23" s="42"/>
      <c r="F23" s="34"/>
      <c r="G23" s="42"/>
      <c r="H23" s="33"/>
      <c r="I23" s="42"/>
    </row>
    <row r="24" spans="1:9">
      <c r="A24" s="30" t="s">
        <v>26</v>
      </c>
      <c r="B24" s="10"/>
      <c r="C24" s="33"/>
      <c r="D24" s="42"/>
      <c r="E24" s="33"/>
      <c r="F24" s="34"/>
      <c r="G24" s="42"/>
      <c r="H24" s="33"/>
      <c r="I24" s="42"/>
    </row>
    <row r="25" spans="1:9" ht="15.75" thickBot="1">
      <c r="A25" s="20" t="s">
        <v>27</v>
      </c>
      <c r="B25" s="21"/>
      <c r="C25" s="37"/>
      <c r="D25" s="38"/>
      <c r="E25" s="39"/>
      <c r="F25" s="40"/>
      <c r="G25" s="39"/>
      <c r="H25" s="40">
        <f>+H22-H24</f>
        <v>389776.69000000006</v>
      </c>
      <c r="I25" s="43">
        <f>+I11</f>
        <v>0</v>
      </c>
    </row>
    <row r="26" spans="1:9" ht="15.75" thickTop="1">
      <c r="A26" s="30"/>
      <c r="B26" s="10"/>
      <c r="C26" s="33"/>
      <c r="D26" s="42"/>
      <c r="E26" s="42"/>
      <c r="F26" s="42"/>
      <c r="G26" s="42"/>
      <c r="H26" s="33"/>
      <c r="I26" s="42"/>
    </row>
    <row r="27" spans="1:9">
      <c r="A27" s="44" t="s">
        <v>28</v>
      </c>
      <c r="B27" s="45"/>
      <c r="C27" s="33"/>
      <c r="D27" s="42"/>
      <c r="E27" s="42"/>
      <c r="F27" s="42"/>
      <c r="G27" s="42"/>
      <c r="H27" s="33"/>
      <c r="I27" s="35"/>
    </row>
    <row r="28" spans="1:9">
      <c r="A28" s="30" t="s">
        <v>29</v>
      </c>
      <c r="B28" s="19">
        <v>42318</v>
      </c>
      <c r="C28" s="46">
        <v>1</v>
      </c>
      <c r="D28" s="47"/>
      <c r="E28" s="35"/>
      <c r="F28" s="33"/>
      <c r="G28" s="35"/>
      <c r="H28" s="33">
        <v>42318</v>
      </c>
      <c r="I28" s="35"/>
    </row>
    <row r="29" spans="1:9">
      <c r="A29" s="48" t="s">
        <v>30</v>
      </c>
      <c r="B29" s="19"/>
      <c r="C29" s="46"/>
      <c r="D29" s="42"/>
      <c r="E29" s="35"/>
      <c r="F29" s="33"/>
      <c r="G29" s="47"/>
      <c r="H29" s="33"/>
      <c r="I29" s="35"/>
    </row>
    <row r="30" spans="1:9">
      <c r="A30" s="30" t="s">
        <v>31</v>
      </c>
      <c r="B30" s="19">
        <v>0</v>
      </c>
      <c r="C30" s="46">
        <v>0</v>
      </c>
      <c r="D30" s="42"/>
      <c r="E30" s="35"/>
      <c r="F30" s="33"/>
      <c r="G30" s="35"/>
      <c r="H30" s="33">
        <f>+IF(C30=1,B30,0)</f>
        <v>0</v>
      </c>
      <c r="I30" s="35"/>
    </row>
    <row r="31" spans="1:9">
      <c r="A31" s="30" t="s">
        <v>32</v>
      </c>
      <c r="B31" s="19">
        <f>19889+9944.5</f>
        <v>29833.5</v>
      </c>
      <c r="C31" s="46">
        <v>0</v>
      </c>
      <c r="D31" s="42"/>
      <c r="E31" s="35"/>
      <c r="F31" s="33"/>
      <c r="G31" s="35"/>
      <c r="H31" s="33">
        <v>0</v>
      </c>
      <c r="I31" s="35"/>
    </row>
    <row r="32" spans="1:9">
      <c r="A32" s="30" t="s">
        <v>33</v>
      </c>
      <c r="B32" s="19">
        <v>0</v>
      </c>
      <c r="C32" s="46">
        <v>0</v>
      </c>
      <c r="D32" s="42"/>
      <c r="E32" s="35"/>
      <c r="F32" s="33"/>
      <c r="G32" s="35"/>
      <c r="H32" s="33">
        <f>+IF(C32=1,B32,0)</f>
        <v>0</v>
      </c>
      <c r="I32" s="49"/>
    </row>
    <row r="33" spans="1:9">
      <c r="A33" s="30" t="s">
        <v>34</v>
      </c>
      <c r="B33" s="19">
        <f>+B28</f>
        <v>42318</v>
      </c>
      <c r="C33" s="46">
        <v>1</v>
      </c>
      <c r="D33" s="42"/>
      <c r="E33" s="35"/>
      <c r="F33" s="33"/>
      <c r="G33" s="35"/>
      <c r="H33" s="33">
        <v>42318</v>
      </c>
      <c r="I33" s="49"/>
    </row>
    <row r="34" spans="1:9">
      <c r="A34" s="30" t="s">
        <v>35</v>
      </c>
      <c r="B34" s="19">
        <v>0</v>
      </c>
      <c r="C34" s="46">
        <v>0</v>
      </c>
      <c r="D34" s="42"/>
      <c r="E34" s="35"/>
      <c r="F34" s="33"/>
      <c r="G34" s="35"/>
      <c r="H34" s="33">
        <v>0</v>
      </c>
      <c r="I34" s="35"/>
    </row>
    <row r="35" spans="1:9" ht="15.75" thickBot="1">
      <c r="A35" s="20" t="s">
        <v>36</v>
      </c>
      <c r="B35" s="50"/>
      <c r="C35" s="37"/>
      <c r="D35" s="51"/>
      <c r="E35" s="39"/>
      <c r="F35" s="37"/>
      <c r="G35" s="41"/>
      <c r="H35" s="40">
        <f>SUM(H28:H34)</f>
        <v>84636</v>
      </c>
      <c r="I35" s="35"/>
    </row>
    <row r="36" spans="1:9" ht="15.75" thickTop="1">
      <c r="A36" s="30"/>
      <c r="B36" s="19"/>
      <c r="C36" s="33"/>
      <c r="D36" s="42"/>
      <c r="E36" s="35"/>
      <c r="F36" s="33"/>
      <c r="G36" s="35"/>
      <c r="H36" s="33"/>
      <c r="I36" s="35"/>
    </row>
    <row r="37" spans="1:9" ht="15.75" thickBot="1">
      <c r="A37" s="52" t="s">
        <v>37</v>
      </c>
      <c r="B37" s="52"/>
      <c r="C37" s="37"/>
      <c r="D37" s="38"/>
      <c r="E37" s="39"/>
      <c r="F37" s="37"/>
      <c r="G37" s="40"/>
      <c r="H37" s="40">
        <f>+H25-H35</f>
        <v>305140.69000000006</v>
      </c>
      <c r="I37" s="35"/>
    </row>
    <row r="38" spans="1:9" ht="15.75" thickTop="1">
      <c r="A38" s="30"/>
      <c r="B38" s="30"/>
      <c r="C38" s="30"/>
      <c r="D38" s="30"/>
      <c r="E38" s="53"/>
      <c r="F38" s="53"/>
      <c r="G38" s="53"/>
      <c r="H38" s="54"/>
      <c r="I38" s="54"/>
    </row>
    <row r="39" spans="1:9">
      <c r="A39" s="27" t="s">
        <v>38</v>
      </c>
      <c r="B39" s="28"/>
      <c r="C39" s="55"/>
      <c r="D39" s="30"/>
      <c r="E39" s="56"/>
      <c r="F39" s="30"/>
      <c r="G39" s="30"/>
      <c r="H39" s="30"/>
      <c r="I39" s="30"/>
    </row>
    <row r="40" spans="1:9">
      <c r="A40" s="30"/>
      <c r="B40" s="28"/>
      <c r="C40" s="57"/>
      <c r="D40" s="44" t="s">
        <v>76</v>
      </c>
      <c r="E40" s="53"/>
      <c r="F40" s="30"/>
      <c r="G40" s="53"/>
      <c r="H40" s="53"/>
      <c r="I40" s="30"/>
    </row>
    <row r="41" spans="1:9" ht="15.75" thickBot="1">
      <c r="A41" s="52" t="s">
        <v>39</v>
      </c>
      <c r="B41" s="58">
        <f>28500+(H37-120000)*0.35</f>
        <v>93299.241500000018</v>
      </c>
      <c r="C41" s="59"/>
      <c r="D41" s="60" t="s">
        <v>40</v>
      </c>
      <c r="E41" s="19">
        <f>+B41</f>
        <v>93299.241500000018</v>
      </c>
      <c r="F41" s="28"/>
      <c r="G41" s="53"/>
      <c r="H41" s="53"/>
      <c r="I41" s="53"/>
    </row>
    <row r="42" spans="1:9" ht="15.75" thickTop="1">
      <c r="A42" s="30"/>
      <c r="B42" s="33"/>
      <c r="C42" s="30"/>
      <c r="D42" s="60" t="s">
        <v>41</v>
      </c>
      <c r="E42" s="61">
        <f>+B44</f>
        <v>3629.3</v>
      </c>
      <c r="F42" s="28"/>
      <c r="G42" s="53"/>
      <c r="H42" s="53"/>
      <c r="I42" s="53"/>
    </row>
    <row r="43" spans="1:9">
      <c r="A43" s="30" t="s">
        <v>42</v>
      </c>
      <c r="B43" s="33">
        <v>0</v>
      </c>
      <c r="C43" s="62"/>
      <c r="D43" s="63" t="s">
        <v>43</v>
      </c>
      <c r="E43" s="64">
        <f>+E41+E42</f>
        <v>96928.541500000021</v>
      </c>
      <c r="F43" s="53"/>
      <c r="G43" s="53"/>
      <c r="H43" s="53"/>
      <c r="I43" s="53"/>
    </row>
    <row r="44" spans="1:9">
      <c r="A44" s="136" t="s">
        <v>44</v>
      </c>
      <c r="B44" s="137">
        <v>3629.3</v>
      </c>
      <c r="C44" s="62"/>
      <c r="D44" s="60"/>
      <c r="E44" s="36">
        <v>0.2</v>
      </c>
      <c r="F44" s="53"/>
      <c r="G44" s="65"/>
      <c r="H44" s="53"/>
      <c r="I44" s="53"/>
    </row>
    <row r="45" spans="1:9">
      <c r="A45" s="136" t="s">
        <v>45</v>
      </c>
      <c r="B45" s="137">
        <v>83518.05</v>
      </c>
      <c r="C45" s="62"/>
      <c r="D45" s="44" t="s">
        <v>45</v>
      </c>
      <c r="E45" s="23">
        <f>+E43*E44</f>
        <v>19385.708300000006</v>
      </c>
      <c r="F45" s="30"/>
      <c r="G45" s="53"/>
      <c r="H45" s="53"/>
      <c r="I45" s="53"/>
    </row>
    <row r="46" spans="1:9" ht="15.75" thickBot="1">
      <c r="A46" s="20" t="s">
        <v>23</v>
      </c>
      <c r="B46" s="40">
        <f>SUM(B43:B45)</f>
        <v>87147.35</v>
      </c>
      <c r="C46" s="62"/>
      <c r="D46" s="44"/>
      <c r="E46" s="66"/>
      <c r="F46" s="30"/>
      <c r="G46" s="65"/>
      <c r="H46" s="53"/>
      <c r="I46" s="53"/>
    </row>
    <row r="47" spans="1:9" ht="15.75" thickTop="1">
      <c r="A47" s="30" t="s">
        <v>46</v>
      </c>
      <c r="B47" s="33">
        <v>0</v>
      </c>
      <c r="C47" s="62"/>
      <c r="D47" s="44" t="s">
        <v>75</v>
      </c>
      <c r="E47" s="30"/>
      <c r="F47" s="28"/>
      <c r="G47" s="53"/>
      <c r="H47" s="30"/>
      <c r="I47" s="30"/>
    </row>
    <row r="48" spans="1:9">
      <c r="A48" s="30" t="s">
        <v>47</v>
      </c>
      <c r="B48" s="33"/>
      <c r="C48" s="30"/>
      <c r="D48" s="60" t="s">
        <v>48</v>
      </c>
      <c r="E48" s="19">
        <v>0</v>
      </c>
      <c r="F48" s="19"/>
      <c r="G48" s="19"/>
      <c r="H48" s="19"/>
      <c r="I48" s="19"/>
    </row>
    <row r="49" spans="1:9" ht="15.75" thickBot="1">
      <c r="A49" s="20" t="s">
        <v>49</v>
      </c>
      <c r="B49" s="40">
        <f>+B41-B46</f>
        <v>6151.8915000000125</v>
      </c>
      <c r="C49" s="62"/>
      <c r="D49" s="60" t="s">
        <v>108</v>
      </c>
      <c r="E49" s="19">
        <f>+E45</f>
        <v>19385.708300000006</v>
      </c>
      <c r="F49" s="19">
        <f>+E49</f>
        <v>19385.708300000006</v>
      </c>
      <c r="G49" s="19">
        <f>+F49</f>
        <v>19385.708300000006</v>
      </c>
      <c r="H49" s="19">
        <f>+G49</f>
        <v>19385.708300000006</v>
      </c>
      <c r="I49" s="19">
        <f>+H49</f>
        <v>19385.708300000006</v>
      </c>
    </row>
    <row r="50" spans="1:9" ht="15.75" thickTop="1">
      <c r="A50" s="53"/>
      <c r="B50" s="53"/>
      <c r="C50" s="53"/>
      <c r="D50" s="53"/>
      <c r="E50" s="53"/>
      <c r="F50" s="53"/>
      <c r="G50" s="53"/>
      <c r="H50" s="53"/>
      <c r="I50" s="53"/>
    </row>
    <row r="51" spans="1:9">
      <c r="A51" s="68" t="s">
        <v>77</v>
      </c>
      <c r="B51" s="53"/>
      <c r="C51" s="53"/>
      <c r="D51" s="53"/>
      <c r="E51" s="53"/>
      <c r="F51" s="53"/>
      <c r="G51" s="53"/>
      <c r="H51" s="53"/>
      <c r="I51" s="53"/>
    </row>
    <row r="52" spans="1:9">
      <c r="A52" s="69"/>
      <c r="B52" s="53"/>
      <c r="C52" s="284" t="s">
        <v>50</v>
      </c>
      <c r="D52" s="285"/>
      <c r="E52" s="286" t="s">
        <v>51</v>
      </c>
      <c r="F52" s="286"/>
      <c r="G52" s="286"/>
      <c r="H52" s="289"/>
      <c r="I52" s="289"/>
    </row>
    <row r="53" spans="1:9">
      <c r="A53" s="70" t="s">
        <v>0</v>
      </c>
      <c r="B53" s="53"/>
      <c r="C53" s="284" t="s">
        <v>52</v>
      </c>
      <c r="D53" s="285"/>
      <c r="E53" s="286" t="s">
        <v>53</v>
      </c>
      <c r="F53" s="286"/>
      <c r="G53" s="68"/>
      <c r="H53" s="71"/>
      <c r="I53" s="71"/>
    </row>
    <row r="54" spans="1:9">
      <c r="A54" s="60" t="s">
        <v>54</v>
      </c>
      <c r="B54" s="53"/>
      <c r="C54" s="53"/>
      <c r="D54" s="72"/>
      <c r="E54" s="53"/>
      <c r="F54" s="132">
        <f>+'2016 Bienes'!E65</f>
        <v>595168.82000000007</v>
      </c>
      <c r="G54" s="68"/>
      <c r="H54" s="109">
        <f>+B49/3</f>
        <v>2050.6305000000043</v>
      </c>
      <c r="I54" s="109"/>
    </row>
    <row r="55" spans="1:9">
      <c r="A55" s="73" t="s">
        <v>55</v>
      </c>
      <c r="B55" s="53"/>
      <c r="C55" s="53"/>
      <c r="D55" s="72"/>
      <c r="E55" s="53"/>
      <c r="F55" s="132">
        <f>+H25</f>
        <v>389776.69000000006</v>
      </c>
      <c r="G55" s="68"/>
      <c r="H55" s="109"/>
      <c r="I55" s="109"/>
    </row>
    <row r="56" spans="1:9">
      <c r="A56" s="73" t="s">
        <v>179</v>
      </c>
      <c r="B56" s="53"/>
      <c r="C56" s="53"/>
      <c r="D56" s="72"/>
      <c r="E56" s="53"/>
      <c r="F56" s="132">
        <f>+Inmuebles!E42</f>
        <v>2475998.75</v>
      </c>
      <c r="G56" s="68"/>
      <c r="H56" s="109"/>
      <c r="I56" s="109"/>
    </row>
    <row r="57" spans="1:9">
      <c r="A57" s="60" t="s">
        <v>56</v>
      </c>
      <c r="B57" s="53"/>
      <c r="C57" s="53"/>
      <c r="D57" s="61">
        <f>+'2016 Bienes'!D65</f>
        <v>3238412.2</v>
      </c>
      <c r="E57" s="65"/>
      <c r="F57" s="74"/>
      <c r="G57" s="68"/>
      <c r="H57" s="74"/>
      <c r="I57" s="74"/>
    </row>
    <row r="58" spans="1:9">
      <c r="A58" s="53"/>
      <c r="B58" s="53"/>
      <c r="C58" s="53"/>
      <c r="D58" s="72"/>
      <c r="E58" s="80"/>
      <c r="F58" s="74"/>
      <c r="G58" s="68"/>
      <c r="H58" s="74"/>
      <c r="I58" s="74"/>
    </row>
    <row r="59" spans="1:9">
      <c r="A59" s="68" t="s">
        <v>57</v>
      </c>
      <c r="B59" s="53"/>
      <c r="C59" s="53"/>
      <c r="D59" s="72"/>
      <c r="E59" s="81"/>
      <c r="F59" s="74"/>
      <c r="G59" s="53"/>
      <c r="H59" s="74"/>
      <c r="I59" s="74"/>
    </row>
    <row r="60" spans="1:9">
      <c r="A60" s="68" t="s">
        <v>58</v>
      </c>
      <c r="B60" s="53"/>
      <c r="C60" s="53"/>
      <c r="D60" s="53"/>
      <c r="E60" s="81"/>
      <c r="F60" s="74"/>
      <c r="G60" s="53"/>
      <c r="H60" s="74"/>
      <c r="I60" s="74"/>
    </row>
    <row r="61" spans="1:9">
      <c r="A61" s="75" t="s">
        <v>59</v>
      </c>
      <c r="B61" s="53"/>
      <c r="C61" s="53"/>
      <c r="D61" s="53"/>
      <c r="E61" s="81"/>
      <c r="F61" s="74"/>
      <c r="G61" s="53"/>
      <c r="H61" s="74"/>
      <c r="I61" s="74"/>
    </row>
    <row r="62" spans="1:9">
      <c r="A62" s="75" t="s">
        <v>60</v>
      </c>
      <c r="B62" s="53"/>
      <c r="C62" s="53"/>
      <c r="D62" s="53"/>
      <c r="E62" s="53"/>
      <c r="F62" s="74"/>
      <c r="G62" s="53"/>
      <c r="H62" s="53"/>
      <c r="I62" s="53"/>
    </row>
    <row r="63" spans="1:9">
      <c r="A63" s="75" t="s">
        <v>61</v>
      </c>
      <c r="B63" s="53"/>
      <c r="C63" s="53"/>
      <c r="D63" s="53"/>
      <c r="E63" s="53"/>
      <c r="F63" s="74">
        <f>-C8</f>
        <v>27860</v>
      </c>
      <c r="G63" s="53"/>
      <c r="H63" s="53"/>
      <c r="I63" s="53"/>
    </row>
    <row r="64" spans="1:9">
      <c r="A64" s="53" t="s">
        <v>74</v>
      </c>
      <c r="B64" s="53"/>
      <c r="C64" s="53"/>
      <c r="D64" s="53"/>
      <c r="E64" s="53"/>
      <c r="F64" s="132">
        <v>1838.36</v>
      </c>
      <c r="G64" s="53"/>
      <c r="H64" s="108"/>
      <c r="I64" s="53"/>
    </row>
    <row r="65" spans="1:9">
      <c r="A65" s="278" t="s">
        <v>284</v>
      </c>
      <c r="B65" s="53"/>
      <c r="C65" s="53"/>
      <c r="D65" s="53"/>
      <c r="E65" s="53"/>
      <c r="F65" s="132">
        <f>+'[2]2016 Ganancias'!$D$67</f>
        <v>891041.4766666668</v>
      </c>
      <c r="G65" s="53"/>
      <c r="H65" s="108"/>
      <c r="I65" s="53"/>
    </row>
    <row r="66" spans="1:9">
      <c r="A66" s="73" t="s">
        <v>62</v>
      </c>
      <c r="B66" s="53"/>
      <c r="C66" s="53"/>
      <c r="D66" s="65">
        <v>166971.82</v>
      </c>
      <c r="E66" s="53"/>
      <c r="F66" s="74"/>
      <c r="G66" s="53"/>
      <c r="H66" s="53"/>
      <c r="I66" s="53"/>
    </row>
    <row r="67" spans="1:9">
      <c r="A67" s="73" t="s">
        <v>63</v>
      </c>
      <c r="B67" s="53"/>
      <c r="C67" s="53"/>
      <c r="D67" s="65">
        <v>11257.14</v>
      </c>
      <c r="E67" s="53"/>
      <c r="F67" s="74"/>
      <c r="G67" s="53"/>
      <c r="H67" s="53"/>
      <c r="I67" s="53"/>
    </row>
    <row r="68" spans="1:9" ht="15.75" thickBot="1">
      <c r="A68" s="76" t="s">
        <v>64</v>
      </c>
      <c r="B68" s="77"/>
      <c r="C68" s="77"/>
      <c r="D68" s="78">
        <f>SUM(D54:D67)</f>
        <v>3416641.16</v>
      </c>
      <c r="E68" s="77"/>
      <c r="F68" s="131">
        <f>SUM(F54:F67)</f>
        <v>4381684.0966666667</v>
      </c>
      <c r="G68" s="65"/>
      <c r="H68" s="53"/>
      <c r="I68" s="53"/>
    </row>
    <row r="69" spans="1:9" ht="15.75" thickTop="1">
      <c r="A69" s="79" t="s">
        <v>65</v>
      </c>
      <c r="B69" s="30"/>
      <c r="C69" s="30"/>
      <c r="D69" s="67">
        <f>+F68-D68</f>
        <v>965042.93666666653</v>
      </c>
      <c r="E69" s="30"/>
      <c r="F69" s="30"/>
      <c r="G69" s="65"/>
      <c r="H69" s="53"/>
      <c r="I69" s="53"/>
    </row>
    <row r="70" spans="1:9">
      <c r="A70" s="73"/>
      <c r="B70" s="53"/>
      <c r="C70" s="53"/>
      <c r="D70" s="71">
        <f>+D69/12</f>
        <v>80420.244722222211</v>
      </c>
      <c r="E70" s="53"/>
      <c r="F70" s="53"/>
      <c r="G70" s="53"/>
      <c r="H70" s="53"/>
      <c r="I70" s="53"/>
    </row>
    <row r="71" spans="1:9" ht="16.5" customHeight="1">
      <c r="A71" s="73"/>
      <c r="B71" s="53"/>
      <c r="C71" s="53"/>
      <c r="D71" s="65"/>
      <c r="E71" s="53"/>
      <c r="F71" s="53"/>
      <c r="G71" s="53"/>
      <c r="H71" s="53"/>
      <c r="I71" s="53"/>
    </row>
    <row r="72" spans="1:9">
      <c r="D72" s="193"/>
      <c r="E72" s="86"/>
    </row>
    <row r="73" spans="1:9">
      <c r="E73" s="86"/>
      <c r="H73" s="86"/>
    </row>
    <row r="74" spans="1:9">
      <c r="A74" s="83"/>
    </row>
    <row r="75" spans="1:9">
      <c r="B75" s="85"/>
    </row>
    <row r="76" spans="1:9">
      <c r="B76" s="85"/>
      <c r="D76" s="82"/>
      <c r="G76" s="83"/>
    </row>
    <row r="77" spans="1:9">
      <c r="D77" s="82"/>
      <c r="G77" s="83"/>
    </row>
    <row r="78" spans="1:9">
      <c r="D78" s="82"/>
      <c r="G78" s="83"/>
    </row>
  </sheetData>
  <mergeCells count="6">
    <mergeCell ref="C53:D53"/>
    <mergeCell ref="E53:F53"/>
    <mergeCell ref="F3:G3"/>
    <mergeCell ref="C52:D52"/>
    <mergeCell ref="E52:F52"/>
    <mergeCell ref="G52:I52"/>
  </mergeCells>
  <pageMargins left="0.70866141732283472" right="0.70866141732283472" top="0.59055118110236227" bottom="0.59055118110236227" header="0.31496062992125984" footer="0.31496062992125984"/>
  <pageSetup paperSize="9" scale="50" fitToHeight="2" orientation="portrait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5"/>
  <sheetViews>
    <sheetView workbookViewId="0">
      <selection activeCell="C4" sqref="C4"/>
    </sheetView>
  </sheetViews>
  <sheetFormatPr baseColWidth="10" defaultRowHeight="15"/>
  <cols>
    <col min="2" max="2" width="13" bestFit="1" customWidth="1"/>
    <col min="3" max="3" width="21.42578125" customWidth="1"/>
  </cols>
  <sheetData>
    <row r="2" spans="1:4">
      <c r="B2">
        <v>2015</v>
      </c>
      <c r="C2">
        <v>2016</v>
      </c>
    </row>
    <row r="3" spans="1:4">
      <c r="A3" t="s">
        <v>170</v>
      </c>
      <c r="B3" s="2">
        <v>0</v>
      </c>
      <c r="C3" s="273">
        <f>+B3</f>
        <v>0</v>
      </c>
      <c r="D3" s="274"/>
    </row>
    <row r="4" spans="1:4">
      <c r="A4" t="s">
        <v>171</v>
      </c>
      <c r="B4" s="2">
        <v>0</v>
      </c>
      <c r="C4" s="2">
        <f>+Inmuebles!H42</f>
        <v>1815850</v>
      </c>
    </row>
    <row r="5" spans="1:4">
      <c r="A5" s="134" t="s">
        <v>64</v>
      </c>
      <c r="B5" s="164">
        <f>SUM(B3:B4)</f>
        <v>0</v>
      </c>
      <c r="C5" s="164">
        <f>SUM(C3:C4)</f>
        <v>1815850</v>
      </c>
    </row>
  </sheetData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9"/>
  <sheetViews>
    <sheetView workbookViewId="0">
      <selection activeCell="A9" sqref="A9"/>
    </sheetView>
  </sheetViews>
  <sheetFormatPr baseColWidth="10" defaultRowHeight="15"/>
  <cols>
    <col min="1" max="1" width="17.42578125" bestFit="1" customWidth="1"/>
    <col min="2" max="2" width="13.7109375" customWidth="1"/>
  </cols>
  <sheetData>
    <row r="2" spans="1:2">
      <c r="A2" t="s">
        <v>180</v>
      </c>
    </row>
    <row r="4" spans="1:2">
      <c r="A4" t="s">
        <v>275</v>
      </c>
      <c r="B4">
        <v>841701.93</v>
      </c>
    </row>
    <row r="5" spans="1:2">
      <c r="A5" t="s">
        <v>181</v>
      </c>
      <c r="B5">
        <v>0</v>
      </c>
    </row>
    <row r="6" spans="1:2">
      <c r="A6" t="s">
        <v>272</v>
      </c>
      <c r="B6">
        <f>+Pasivos!G13</f>
        <v>38067.321499999998</v>
      </c>
    </row>
    <row r="7" spans="1:2">
      <c r="A7" t="s">
        <v>274</v>
      </c>
      <c r="B7" s="2">
        <f>103476-42318</f>
        <v>61158</v>
      </c>
    </row>
    <row r="8" spans="1:2">
      <c r="A8" t="s">
        <v>64</v>
      </c>
      <c r="B8" s="2">
        <f>SUM(B3:B7)</f>
        <v>940927.25150000001</v>
      </c>
    </row>
    <row r="9" spans="1:2">
      <c r="A9" t="s">
        <v>182</v>
      </c>
      <c r="B9" s="2">
        <f>+B8/12</f>
        <v>78410.604291666663</v>
      </c>
    </row>
  </sheetData>
  <pageMargins left="0.70866141732283472" right="0.70866141732283472" top="0.74803149606299213" bottom="0.74803149606299213" header="0.31496062992125984" footer="0.31496062992125984"/>
  <pageSetup orientation="landscape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2"/>
  <sheetViews>
    <sheetView topLeftCell="A16" workbookViewId="0">
      <selection activeCell="B17" sqref="B17"/>
    </sheetView>
  </sheetViews>
  <sheetFormatPr baseColWidth="10" defaultRowHeight="15"/>
  <cols>
    <col min="1" max="1" width="56" bestFit="1" customWidth="1"/>
    <col min="2" max="2" width="19" bestFit="1" customWidth="1"/>
  </cols>
  <sheetData>
    <row r="1" spans="1:3" ht="18">
      <c r="A1" s="312" t="s">
        <v>220</v>
      </c>
      <c r="B1" s="312"/>
    </row>
    <row r="2" spans="1:3">
      <c r="A2" s="230" t="s">
        <v>221</v>
      </c>
      <c r="B2" s="231">
        <v>28281</v>
      </c>
      <c r="C2" s="232"/>
    </row>
    <row r="3" spans="1:3" ht="28.5">
      <c r="A3" s="230" t="s">
        <v>222</v>
      </c>
      <c r="B3" s="231" t="s">
        <v>223</v>
      </c>
      <c r="C3" s="232"/>
    </row>
    <row r="4" spans="1:3">
      <c r="A4" s="230" t="s">
        <v>224</v>
      </c>
      <c r="B4" s="231" t="s">
        <v>225</v>
      </c>
      <c r="C4" s="232"/>
    </row>
    <row r="5" spans="1:3">
      <c r="A5" s="230" t="s">
        <v>226</v>
      </c>
      <c r="B5" s="231" t="s">
        <v>153</v>
      </c>
      <c r="C5" s="232"/>
    </row>
    <row r="6" spans="1:3">
      <c r="A6" s="230" t="s">
        <v>227</v>
      </c>
      <c r="B6" s="233">
        <v>95000</v>
      </c>
      <c r="C6" s="232"/>
    </row>
    <row r="7" spans="1:3">
      <c r="A7" s="230" t="s">
        <v>228</v>
      </c>
      <c r="B7" s="231">
        <v>950</v>
      </c>
      <c r="C7" s="232"/>
    </row>
    <row r="8" spans="1:3">
      <c r="A8" s="230" t="s">
        <v>229</v>
      </c>
      <c r="B8" s="233">
        <v>94050</v>
      </c>
      <c r="C8" s="232"/>
    </row>
    <row r="9" spans="1:3">
      <c r="A9" s="230" t="s">
        <v>230</v>
      </c>
      <c r="B9" s="231" t="s">
        <v>231</v>
      </c>
      <c r="C9" s="232"/>
    </row>
    <row r="10" spans="1:3">
      <c r="A10" s="230" t="s">
        <v>232</v>
      </c>
      <c r="B10" s="234">
        <v>0.39340000000000003</v>
      </c>
      <c r="C10" s="232"/>
    </row>
    <row r="11" spans="1:3">
      <c r="A11" s="230" t="s">
        <v>233</v>
      </c>
      <c r="B11" s="234">
        <v>0.47260000000000002</v>
      </c>
      <c r="C11" s="232"/>
    </row>
    <row r="12" spans="1:3">
      <c r="A12" s="230" t="s">
        <v>234</v>
      </c>
      <c r="B12" s="234">
        <v>3.27E-2</v>
      </c>
      <c r="C12" s="232"/>
    </row>
    <row r="13" spans="1:3">
      <c r="A13" s="230" t="s">
        <v>235</v>
      </c>
      <c r="B13" s="234">
        <v>0.49049999999999999</v>
      </c>
      <c r="C13" s="232"/>
    </row>
    <row r="14" spans="1:3">
      <c r="A14" s="230" t="s">
        <v>236</v>
      </c>
      <c r="B14" s="234">
        <v>0.4108</v>
      </c>
      <c r="C14" s="232"/>
    </row>
    <row r="15" spans="1:3" ht="18" customHeight="1">
      <c r="A15" s="230" t="s">
        <v>237</v>
      </c>
      <c r="B15" s="231">
        <v>16</v>
      </c>
      <c r="C15" s="232"/>
    </row>
    <row r="16" spans="1:3" ht="21" customHeight="1">
      <c r="A16" s="230" t="s">
        <v>238</v>
      </c>
      <c r="B16" s="231">
        <v>60</v>
      </c>
      <c r="C16" s="232"/>
    </row>
    <row r="17" spans="1:3" ht="32.25" customHeight="1">
      <c r="A17" s="230" t="s">
        <v>239</v>
      </c>
      <c r="B17" s="231" t="s">
        <v>240</v>
      </c>
      <c r="C17" s="232"/>
    </row>
    <row r="18" spans="1:3" ht="43.5" customHeight="1">
      <c r="A18" s="230" t="s">
        <v>241</v>
      </c>
      <c r="B18" s="231" t="s">
        <v>242</v>
      </c>
      <c r="C18" s="232"/>
    </row>
    <row r="19" spans="1:3" ht="37.5" customHeight="1">
      <c r="A19" s="230" t="s">
        <v>243</v>
      </c>
      <c r="B19" s="231" t="s">
        <v>244</v>
      </c>
      <c r="C19" s="232"/>
    </row>
    <row r="20" spans="1:3" ht="30.75" customHeight="1">
      <c r="A20" s="230" t="s">
        <v>245</v>
      </c>
      <c r="B20" s="235">
        <v>41898</v>
      </c>
      <c r="C20" s="232"/>
    </row>
    <row r="21" spans="1:3" ht="15.75">
      <c r="A21" s="236" t="s">
        <v>302</v>
      </c>
      <c r="B21" s="237">
        <v>72756.63</v>
      </c>
      <c r="C21" s="232"/>
    </row>
    <row r="22" spans="1:3" ht="15.75">
      <c r="A22" s="236" t="s">
        <v>301</v>
      </c>
      <c r="B22" s="237">
        <v>31259.7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0"/>
  <sheetViews>
    <sheetView zoomScale="85" zoomScaleNormal="85" workbookViewId="0">
      <selection activeCell="A47" sqref="A47"/>
    </sheetView>
  </sheetViews>
  <sheetFormatPr baseColWidth="10" defaultRowHeight="15"/>
  <cols>
    <col min="1" max="1" width="46.28515625" customWidth="1"/>
    <col min="2" max="2" width="19.140625" customWidth="1"/>
    <col min="3" max="3" width="11.7109375" customWidth="1"/>
    <col min="4" max="4" width="15.5703125" customWidth="1"/>
    <col min="5" max="5" width="12.42578125" customWidth="1"/>
    <col min="6" max="6" width="11.7109375" bestFit="1" customWidth="1"/>
    <col min="8" max="8" width="11.7109375" bestFit="1" customWidth="1"/>
  </cols>
  <sheetData>
    <row r="1" spans="1:5" ht="31.5">
      <c r="A1" s="283" t="s">
        <v>283</v>
      </c>
    </row>
    <row r="3" spans="1:5">
      <c r="A3" s="87"/>
      <c r="B3" s="290" t="s">
        <v>85</v>
      </c>
      <c r="C3" s="291"/>
      <c r="D3" s="292" t="s">
        <v>86</v>
      </c>
      <c r="E3" s="293"/>
    </row>
    <row r="4" spans="1:5">
      <c r="A4" s="89" t="s">
        <v>66</v>
      </c>
      <c r="B4" s="100">
        <v>2016</v>
      </c>
      <c r="C4" s="110">
        <v>2015</v>
      </c>
      <c r="D4" s="100">
        <v>2016</v>
      </c>
      <c r="E4" s="100">
        <v>2015</v>
      </c>
    </row>
    <row r="5" spans="1:5">
      <c r="A5" s="90"/>
      <c r="B5" s="91"/>
      <c r="C5" s="92"/>
      <c r="D5" s="90"/>
      <c r="E5" s="88"/>
    </row>
    <row r="6" spans="1:5">
      <c r="A6" s="93" t="s">
        <v>67</v>
      </c>
      <c r="B6" s="94"/>
      <c r="C6" s="92"/>
      <c r="D6" s="90"/>
      <c r="E6" s="112"/>
    </row>
    <row r="7" spans="1:5">
      <c r="A7" s="190" t="str">
        <f>+Inmuebles!A8</f>
        <v>CAMPANA</v>
      </c>
      <c r="B7" s="94">
        <f>+Inmuebles!I8</f>
        <v>320921.3</v>
      </c>
      <c r="C7" s="92"/>
      <c r="D7" s="90">
        <f>+Inmuebles!G8</f>
        <v>1</v>
      </c>
      <c r="E7" s="112">
        <f>+Inmuebles!C8</f>
        <v>1</v>
      </c>
    </row>
    <row r="8" spans="1:5">
      <c r="A8" s="190" t="str">
        <f>+Inmuebles!A9</f>
        <v xml:space="preserve">ARTIGAS </v>
      </c>
      <c r="B8" s="94">
        <f>+Inmuebles!I9</f>
        <v>49647.315000000002</v>
      </c>
      <c r="C8" s="92"/>
      <c r="D8" s="90">
        <f>+Inmuebles!G9</f>
        <v>36000</v>
      </c>
      <c r="E8" s="112">
        <f>+Inmuebles!C9</f>
        <v>36000</v>
      </c>
    </row>
    <row r="9" spans="1:5">
      <c r="A9" s="190" t="str">
        <f>+Inmuebles!A10</f>
        <v xml:space="preserve">MELINCUE </v>
      </c>
      <c r="B9" s="94">
        <f>+Inmuebles!I10</f>
        <v>0</v>
      </c>
      <c r="C9" s="92"/>
      <c r="D9" s="90">
        <f>+Inmuebles!G10</f>
        <v>0</v>
      </c>
      <c r="E9" s="112">
        <f>+Inmuebles!C10</f>
        <v>1</v>
      </c>
    </row>
    <row r="10" spans="1:5">
      <c r="A10" s="190" t="str">
        <f>+Inmuebles!A11</f>
        <v xml:space="preserve">NOGOYA </v>
      </c>
      <c r="B10" s="94">
        <f>+Inmuebles!I11</f>
        <v>257786.43660000002</v>
      </c>
      <c r="C10" s="92"/>
      <c r="D10" s="90">
        <f>+Inmuebles!G11</f>
        <v>309988.5</v>
      </c>
      <c r="E10" s="112">
        <f>+Inmuebles!C11</f>
        <v>309988.5</v>
      </c>
    </row>
    <row r="11" spans="1:5">
      <c r="A11" s="190" t="str">
        <f>+Inmuebles!A12</f>
        <v xml:space="preserve">TINOGASTA </v>
      </c>
      <c r="B11" s="94">
        <f>+Inmuebles!I12</f>
        <v>0</v>
      </c>
      <c r="C11" s="92"/>
      <c r="D11" s="90">
        <f>+Inmuebles!G12</f>
        <v>0</v>
      </c>
      <c r="E11" s="112">
        <f>+Inmuebles!C12</f>
        <v>1</v>
      </c>
    </row>
    <row r="12" spans="1:5">
      <c r="A12" s="190" t="str">
        <f>+Inmuebles!A13</f>
        <v xml:space="preserve">ZAMUDIO </v>
      </c>
      <c r="B12" s="94">
        <f>+Inmuebles!I13</f>
        <v>104562.575</v>
      </c>
      <c r="C12" s="92"/>
      <c r="D12" s="90">
        <f>+Inmuebles!G13</f>
        <v>1</v>
      </c>
      <c r="E12" s="112">
        <f>+Inmuebles!C13</f>
        <v>1</v>
      </c>
    </row>
    <row r="13" spans="1:5">
      <c r="A13" s="190" t="str">
        <f>+Inmuebles!A14</f>
        <v xml:space="preserve">CONDARCO </v>
      </c>
      <c r="B13" s="94">
        <f>+Inmuebles!I14</f>
        <v>101675</v>
      </c>
      <c r="C13" s="92"/>
      <c r="D13" s="90">
        <f>+Inmuebles!G14</f>
        <v>101675</v>
      </c>
      <c r="E13" s="112">
        <f>+Inmuebles!C14</f>
        <v>101675</v>
      </c>
    </row>
    <row r="14" spans="1:5">
      <c r="A14" s="190" t="str">
        <f>+Inmuebles!A15</f>
        <v xml:space="preserve">CONSTITUCION </v>
      </c>
      <c r="B14" s="94">
        <f>+Inmuebles!I15</f>
        <v>0</v>
      </c>
      <c r="C14" s="92"/>
      <c r="D14" s="90">
        <f>+Inmuebles!G15</f>
        <v>0</v>
      </c>
      <c r="E14" s="112">
        <f>+Inmuebles!C15</f>
        <v>1</v>
      </c>
    </row>
    <row r="15" spans="1:5">
      <c r="A15" s="190" t="str">
        <f>+Inmuebles!A16</f>
        <v xml:space="preserve">GRAL RIVAS </v>
      </c>
      <c r="B15" s="94">
        <f>+Inmuebles!I16</f>
        <v>74870</v>
      </c>
      <c r="C15" s="92"/>
      <c r="D15" s="90">
        <f>+E15</f>
        <v>88799.54</v>
      </c>
      <c r="E15" s="112">
        <f>+Inmuebles!C16</f>
        <v>88799.54</v>
      </c>
    </row>
    <row r="16" spans="1:5">
      <c r="A16" s="190" t="str">
        <f>+Inmuebles!A17</f>
        <v xml:space="preserve">TERRADA </v>
      </c>
      <c r="B16" s="94">
        <f>+Inmuebles!I17</f>
        <v>757680</v>
      </c>
      <c r="C16" s="92"/>
      <c r="D16" s="90">
        <f>+Inmuebles!C17</f>
        <v>770000</v>
      </c>
      <c r="E16" s="112"/>
    </row>
    <row r="17" spans="1:5">
      <c r="A17" s="95" t="s">
        <v>78</v>
      </c>
      <c r="B17" s="192">
        <f>SUM(B7:B16)</f>
        <v>1667142.6266000001</v>
      </c>
      <c r="C17" s="192">
        <f>SUM(C7:C14)</f>
        <v>0</v>
      </c>
      <c r="D17" s="192">
        <f>SUM(D7:D16)</f>
        <v>1306465.04</v>
      </c>
      <c r="E17" s="192">
        <f>SUM(E7:E15)</f>
        <v>536468.04</v>
      </c>
    </row>
    <row r="18" spans="1:5">
      <c r="A18" s="90"/>
      <c r="B18" s="91"/>
      <c r="C18" s="92"/>
      <c r="D18" s="90"/>
      <c r="E18" s="112"/>
    </row>
    <row r="19" spans="1:5">
      <c r="A19" s="93" t="s">
        <v>93</v>
      </c>
      <c r="B19" s="91"/>
      <c r="C19" s="92"/>
      <c r="D19" s="90"/>
      <c r="E19" s="112"/>
    </row>
    <row r="20" spans="1:5">
      <c r="A20" s="266"/>
      <c r="B20" s="91"/>
      <c r="C20" s="92"/>
      <c r="D20" s="90"/>
      <c r="E20" s="112"/>
    </row>
    <row r="21" spans="1:5">
      <c r="A21" s="107">
        <f>+Vehiculos!A7</f>
        <v>841</v>
      </c>
      <c r="B21" s="97">
        <f>+Vehiculos!H7</f>
        <v>0</v>
      </c>
      <c r="C21" s="94">
        <v>0</v>
      </c>
      <c r="D21" s="116">
        <f>+Vehiculos!B7</f>
        <v>48225</v>
      </c>
      <c r="E21" s="94">
        <f>+D21</f>
        <v>48225</v>
      </c>
    </row>
    <row r="22" spans="1:5">
      <c r="A22" s="107">
        <f>+Vehiculos!A8</f>
        <v>134</v>
      </c>
      <c r="B22" s="97">
        <f>+Vehiculos!H8</f>
        <v>167000</v>
      </c>
      <c r="C22" s="114"/>
      <c r="D22" s="116">
        <f>+Vehiculos!B8</f>
        <v>85500</v>
      </c>
      <c r="E22" s="94">
        <f>+D22</f>
        <v>85500</v>
      </c>
    </row>
    <row r="23" spans="1:5">
      <c r="A23" s="98" t="s">
        <v>79</v>
      </c>
      <c r="B23" s="96">
        <f>SUM(B21:B22)</f>
        <v>167000</v>
      </c>
      <c r="C23" s="115">
        <f>SUM(C21:C21)</f>
        <v>0</v>
      </c>
      <c r="D23" s="117">
        <f>SUM(D21:D22)</f>
        <v>133725</v>
      </c>
      <c r="E23" s="96">
        <f>SUM(E21:E22)</f>
        <v>133725</v>
      </c>
    </row>
    <row r="24" spans="1:5">
      <c r="A24" s="90"/>
      <c r="B24" s="91"/>
      <c r="C24" s="92"/>
      <c r="D24" s="90"/>
      <c r="E24" s="112"/>
    </row>
    <row r="25" spans="1:5">
      <c r="A25" s="93" t="s">
        <v>68</v>
      </c>
      <c r="B25" s="94"/>
      <c r="C25" s="92"/>
      <c r="D25" s="90"/>
      <c r="E25" s="112"/>
    </row>
    <row r="26" spans="1:5">
      <c r="A26" s="275" t="s">
        <v>171</v>
      </c>
      <c r="B26" s="277">
        <f>+'Dinero en Efectivo'!C5</f>
        <v>1815850</v>
      </c>
      <c r="C26" s="277">
        <f>+'Dinero en Efectivo'!B5</f>
        <v>0</v>
      </c>
      <c r="D26" s="277">
        <f>+'Dinero en Efectivo'!C5</f>
        <v>1815850</v>
      </c>
      <c r="E26" s="276">
        <f>+'Dinero en Efectivo'!B5</f>
        <v>0</v>
      </c>
    </row>
    <row r="27" spans="1:5">
      <c r="A27" s="93"/>
      <c r="B27" s="94"/>
      <c r="C27" s="92"/>
      <c r="D27" s="90"/>
      <c r="E27" s="112"/>
    </row>
    <row r="28" spans="1:5">
      <c r="A28" s="95" t="s">
        <v>80</v>
      </c>
      <c r="B28" s="96">
        <f>SUM(B26:B27)</f>
        <v>1815850</v>
      </c>
      <c r="C28" s="115">
        <f>+C26</f>
        <v>0</v>
      </c>
      <c r="D28" s="117">
        <f>+D26</f>
        <v>1815850</v>
      </c>
      <c r="E28" s="96">
        <f>+E26</f>
        <v>0</v>
      </c>
    </row>
    <row r="29" spans="1:5">
      <c r="A29" s="90"/>
      <c r="B29" s="91"/>
      <c r="C29" s="92"/>
      <c r="D29" s="90"/>
      <c r="E29" s="112"/>
    </row>
    <row r="30" spans="1:5">
      <c r="A30" s="93" t="s">
        <v>69</v>
      </c>
      <c r="B30" s="91"/>
      <c r="C30" s="92"/>
      <c r="D30" s="90"/>
      <c r="E30" s="112"/>
    </row>
    <row r="31" spans="1:5">
      <c r="A31" s="267">
        <f>+'Banco Saldos'!B6</f>
        <v>1</v>
      </c>
      <c r="B31" s="91"/>
      <c r="C31" s="92"/>
      <c r="D31" s="191">
        <f>+'Banco Saldos'!I6</f>
        <v>0</v>
      </c>
      <c r="E31" s="268">
        <f>+'Banco Saldos'!H6</f>
        <v>584.78</v>
      </c>
    </row>
    <row r="32" spans="1:5">
      <c r="A32" s="267">
        <f>+'Banco Saldos'!B7</f>
        <v>2</v>
      </c>
      <c r="B32" s="91"/>
      <c r="C32" s="269">
        <v>0</v>
      </c>
      <c r="D32" s="191">
        <v>0</v>
      </c>
      <c r="E32" s="268">
        <f>+'Banco Saldos'!H7</f>
        <v>14383.06</v>
      </c>
    </row>
    <row r="33" spans="1:5">
      <c r="A33" s="267">
        <f>+'Banco Saldos'!B9</f>
        <v>3</v>
      </c>
      <c r="B33" s="138">
        <f>+D33</f>
        <v>261.27999999999997</v>
      </c>
      <c r="C33" s="133">
        <v>0</v>
      </c>
      <c r="D33" s="140">
        <f>+'Banco Saldos'!I9</f>
        <v>261.27999999999997</v>
      </c>
      <c r="E33" s="133">
        <f>+'Banco Saldos'!H9</f>
        <v>75.94</v>
      </c>
    </row>
    <row r="34" spans="1:5">
      <c r="A34" s="267">
        <f>+'Banco Saldos'!B10</f>
        <v>4</v>
      </c>
      <c r="B34" s="138">
        <v>0</v>
      </c>
      <c r="C34" s="270">
        <v>0</v>
      </c>
      <c r="D34" s="140">
        <f>+'Banco Saldos'!I10</f>
        <v>1684.92</v>
      </c>
      <c r="E34" s="133">
        <f>+'Banco Saldos'!H10</f>
        <v>12325.83</v>
      </c>
    </row>
    <row r="35" spans="1:5">
      <c r="A35" s="267">
        <f>+'Banco Saldos'!B12</f>
        <v>5</v>
      </c>
      <c r="B35" s="133"/>
      <c r="C35" s="269">
        <v>0</v>
      </c>
      <c r="D35" s="191">
        <v>0</v>
      </c>
      <c r="E35" s="268">
        <f>+'Banco Saldos'!H12</f>
        <v>23683.38</v>
      </c>
    </row>
    <row r="36" spans="1:5">
      <c r="A36" s="95" t="s">
        <v>81</v>
      </c>
      <c r="B36" s="96">
        <f>SUM(B33:B35)</f>
        <v>261.27999999999997</v>
      </c>
      <c r="C36" s="115">
        <f>+C33</f>
        <v>0</v>
      </c>
      <c r="D36" s="96">
        <f>SUM(D31:D35)</f>
        <v>1946.2</v>
      </c>
      <c r="E36" s="96">
        <f>SUM(E31:E35)</f>
        <v>51052.990000000005</v>
      </c>
    </row>
    <row r="37" spans="1:5">
      <c r="A37" s="90"/>
      <c r="B37" s="91"/>
      <c r="C37" s="92"/>
      <c r="D37" s="90"/>
      <c r="E37" s="112"/>
    </row>
    <row r="38" spans="1:5">
      <c r="A38" s="127" t="s">
        <v>103</v>
      </c>
      <c r="B38" s="125"/>
      <c r="C38" s="128"/>
      <c r="D38" s="87"/>
      <c r="E38" s="88"/>
    </row>
    <row r="39" spans="1:5">
      <c r="A39" s="99" t="str">
        <f>+'Participaciones Sociedad'!A4</f>
        <v>CONSTRUCCIONES SRL</v>
      </c>
      <c r="B39" s="94">
        <v>0</v>
      </c>
      <c r="C39" s="114">
        <v>0</v>
      </c>
      <c r="D39" s="121">
        <f>+'Participaciones Sociedad'!C11</f>
        <v>13905</v>
      </c>
      <c r="E39" s="94">
        <f>+'Participaciones Sociedad'!B11</f>
        <v>13905</v>
      </c>
    </row>
    <row r="40" spans="1:5">
      <c r="A40" s="95" t="s">
        <v>104</v>
      </c>
      <c r="B40" s="96">
        <f>+B39</f>
        <v>0</v>
      </c>
      <c r="C40" s="96">
        <f>+C39</f>
        <v>0</v>
      </c>
      <c r="D40" s="96">
        <f>+D39</f>
        <v>13905</v>
      </c>
      <c r="E40" s="96">
        <f>+E39</f>
        <v>13905</v>
      </c>
    </row>
    <row r="41" spans="1:5">
      <c r="A41" s="93"/>
      <c r="B41" s="102"/>
      <c r="C41" s="123"/>
      <c r="D41" s="124"/>
      <c r="E41" s="102"/>
    </row>
    <row r="42" spans="1:5">
      <c r="A42" s="93" t="s">
        <v>276</v>
      </c>
      <c r="B42" s="102"/>
      <c r="C42" s="123"/>
      <c r="D42" s="124"/>
      <c r="E42" s="102"/>
    </row>
    <row r="43" spans="1:5">
      <c r="A43" s="93" t="s">
        <v>279</v>
      </c>
      <c r="B43" s="102"/>
      <c r="C43" s="123">
        <v>0</v>
      </c>
      <c r="D43" s="124">
        <v>4205.6400000000003</v>
      </c>
      <c r="E43" s="102"/>
    </row>
    <row r="44" spans="1:5">
      <c r="A44" s="93" t="s">
        <v>280</v>
      </c>
      <c r="B44" s="102">
        <v>0</v>
      </c>
      <c r="C44" s="123">
        <v>0</v>
      </c>
      <c r="D44" s="124">
        <v>50110.83</v>
      </c>
      <c r="E44" s="102"/>
    </row>
    <row r="45" spans="1:5">
      <c r="A45" s="272" t="s">
        <v>303</v>
      </c>
      <c r="B45" s="102">
        <f>+D45</f>
        <v>137369.18</v>
      </c>
      <c r="C45" s="123">
        <v>0</v>
      </c>
      <c r="D45" s="124">
        <f>+Creditos!C8</f>
        <v>137369.18</v>
      </c>
      <c r="E45" s="102">
        <f>+Creditos!B8</f>
        <v>137369.18</v>
      </c>
    </row>
    <row r="46" spans="1:5">
      <c r="A46" s="272" t="s">
        <v>297</v>
      </c>
      <c r="B46" s="102">
        <f>+D46</f>
        <v>5918.41</v>
      </c>
      <c r="C46" s="123"/>
      <c r="D46" s="124">
        <f>+Creditos!C16</f>
        <v>5918.41</v>
      </c>
      <c r="E46" s="102">
        <f>+Creditos!B16</f>
        <v>0</v>
      </c>
    </row>
    <row r="47" spans="1:5">
      <c r="A47" s="95" t="s">
        <v>177</v>
      </c>
      <c r="B47" s="96">
        <f>SUM(B45:B46)</f>
        <v>143287.59</v>
      </c>
      <c r="C47" s="96">
        <f t="shared" ref="C47:E47" si="0">SUM(C45:C46)</f>
        <v>0</v>
      </c>
      <c r="D47" s="96">
        <f t="shared" si="0"/>
        <v>143287.59</v>
      </c>
      <c r="E47" s="96">
        <f t="shared" si="0"/>
        <v>137369.18</v>
      </c>
    </row>
    <row r="48" spans="1:5">
      <c r="A48" s="93"/>
      <c r="B48" s="102"/>
      <c r="C48" s="123"/>
      <c r="D48" s="124"/>
      <c r="E48" s="102"/>
    </row>
    <row r="49" spans="1:5">
      <c r="A49" s="93" t="s">
        <v>277</v>
      </c>
      <c r="B49" s="102"/>
      <c r="C49" s="123"/>
      <c r="D49" s="124"/>
      <c r="E49" s="102"/>
    </row>
    <row r="50" spans="1:5">
      <c r="A50" s="93" t="str">
        <f>+Pasivos!B3</f>
        <v>Visa Bco Frances</v>
      </c>
      <c r="B50" s="102"/>
      <c r="C50" s="123"/>
      <c r="D50" s="124"/>
      <c r="E50" s="102">
        <f>+Pasivos!D3</f>
        <v>77331.27</v>
      </c>
    </row>
    <row r="51" spans="1:5">
      <c r="A51" s="93" t="str">
        <f>+Pasivos!B4</f>
        <v>Visa ICBC</v>
      </c>
      <c r="B51" s="102"/>
      <c r="C51" s="123"/>
      <c r="D51" s="124"/>
      <c r="E51" s="102">
        <f>+Pasivos!D4</f>
        <v>16564.02</v>
      </c>
    </row>
    <row r="52" spans="1:5">
      <c r="A52" s="93" t="str">
        <f>+Pasivos!B5</f>
        <v>Visa Ciudad</v>
      </c>
      <c r="B52" s="102"/>
      <c r="C52" s="123"/>
      <c r="D52" s="124"/>
      <c r="E52" s="102">
        <f>+Pasivos!D5</f>
        <v>21184.48</v>
      </c>
    </row>
    <row r="53" spans="1:5">
      <c r="A53" s="271" t="s">
        <v>23</v>
      </c>
      <c r="B53" s="102"/>
      <c r="C53" s="123"/>
      <c r="D53" s="124">
        <f>+Pasivos!E3</f>
        <v>53253</v>
      </c>
      <c r="E53" s="102"/>
    </row>
    <row r="54" spans="1:5">
      <c r="A54" s="93" t="str">
        <f>+Pasivos!B6</f>
        <v>Master Citi</v>
      </c>
      <c r="B54" s="102"/>
      <c r="C54" s="123"/>
      <c r="D54" s="124"/>
      <c r="E54" s="102">
        <f>+Pasivos!D6</f>
        <v>27369.1</v>
      </c>
    </row>
    <row r="55" spans="1:5">
      <c r="A55" s="93" t="str">
        <f>+Pasivos!B7</f>
        <v>Master Bco Frances</v>
      </c>
      <c r="B55" s="102"/>
      <c r="C55" s="123"/>
      <c r="D55" s="124"/>
      <c r="E55" s="102">
        <f>+Pasivos!D7</f>
        <v>6809.08</v>
      </c>
    </row>
    <row r="56" spans="1:5">
      <c r="A56" s="93" t="str">
        <f>+Pasivos!B8</f>
        <v>Master Macro</v>
      </c>
      <c r="B56" s="102"/>
      <c r="C56" s="123"/>
      <c r="D56" s="124"/>
      <c r="E56" s="102">
        <f>+Pasivos!D8</f>
        <v>792.18</v>
      </c>
    </row>
    <row r="57" spans="1:5">
      <c r="A57" s="271" t="s">
        <v>23</v>
      </c>
      <c r="B57" s="102"/>
      <c r="C57" s="123"/>
      <c r="D57" s="124">
        <f>+Pasivos!E6</f>
        <v>50757</v>
      </c>
      <c r="E57" s="102"/>
    </row>
    <row r="58" spans="1:5">
      <c r="A58" s="93" t="str">
        <f>+Pasivos!B9</f>
        <v>Easy</v>
      </c>
      <c r="B58" s="102"/>
      <c r="C58" s="123"/>
      <c r="D58" s="124"/>
      <c r="E58" s="102">
        <f>+Pasivos!D9</f>
        <v>42331.71</v>
      </c>
    </row>
    <row r="59" spans="1:5">
      <c r="A59" s="93" t="str">
        <f>+Pasivos!B10</f>
        <v>Banco Frances</v>
      </c>
      <c r="B59" s="102"/>
      <c r="C59" s="123"/>
      <c r="D59" s="124">
        <f>+Pasivos!E10</f>
        <v>72756.63</v>
      </c>
      <c r="E59" s="102">
        <f>+Pasivos!D10</f>
        <v>84969.55</v>
      </c>
    </row>
    <row r="60" spans="1:5">
      <c r="A60" s="93"/>
      <c r="B60" s="102"/>
      <c r="C60" s="123"/>
      <c r="D60" s="124"/>
      <c r="E60" s="102"/>
    </row>
    <row r="61" spans="1:5">
      <c r="A61" s="95" t="s">
        <v>278</v>
      </c>
      <c r="B61" s="96"/>
      <c r="C61" s="96"/>
      <c r="D61" s="96">
        <f>SUM(D50:D60)</f>
        <v>176766.63</v>
      </c>
      <c r="E61" s="96">
        <f>SUM(E50:E60)</f>
        <v>277351.38999999996</v>
      </c>
    </row>
    <row r="62" spans="1:5">
      <c r="A62" s="93"/>
      <c r="B62" s="102"/>
      <c r="C62" s="123"/>
      <c r="D62" s="124"/>
      <c r="E62" s="102"/>
    </row>
    <row r="63" spans="1:5">
      <c r="A63" s="93" t="s">
        <v>105</v>
      </c>
      <c r="B63" s="102">
        <f>+B47+B36+B28+B23+B17</f>
        <v>3793541.4966000002</v>
      </c>
      <c r="C63" s="123"/>
      <c r="D63" s="124">
        <f>+D17+D23+D28+D36+D40+D47</f>
        <v>3415178.83</v>
      </c>
      <c r="E63" s="102">
        <f>+E17+E23+E36+E40+E47</f>
        <v>872520.21</v>
      </c>
    </row>
    <row r="64" spans="1:5">
      <c r="A64" s="93" t="s">
        <v>102</v>
      </c>
      <c r="B64" s="94"/>
      <c r="C64" s="114"/>
      <c r="D64" s="124">
        <f>+D61</f>
        <v>176766.63</v>
      </c>
      <c r="E64" s="102">
        <f>+E61</f>
        <v>277351.38999999996</v>
      </c>
    </row>
    <row r="65" spans="1:8">
      <c r="A65" s="95" t="s">
        <v>106</v>
      </c>
      <c r="B65" s="101"/>
      <c r="C65" s="130"/>
      <c r="D65" s="117">
        <f>+D63-D64</f>
        <v>3238412.2</v>
      </c>
      <c r="E65" s="192">
        <f>+E63-E64</f>
        <v>595168.82000000007</v>
      </c>
      <c r="F65" t="s">
        <v>281</v>
      </c>
      <c r="H65" s="86"/>
    </row>
    <row r="66" spans="1:8">
      <c r="A66" s="90"/>
      <c r="B66" s="91"/>
      <c r="C66" s="92"/>
      <c r="D66" s="90"/>
      <c r="E66" s="112"/>
    </row>
    <row r="67" spans="1:8">
      <c r="A67" s="93" t="s">
        <v>82</v>
      </c>
      <c r="B67" s="102">
        <f>+B63</f>
        <v>3793541.4966000002</v>
      </c>
      <c r="C67" s="92"/>
      <c r="D67" s="90"/>
      <c r="E67" s="112"/>
    </row>
    <row r="68" spans="1:8">
      <c r="A68" s="93" t="s">
        <v>83</v>
      </c>
      <c r="B68" s="102">
        <f>+B67*0.05</f>
        <v>189677.07483000003</v>
      </c>
      <c r="C68" s="92"/>
      <c r="D68" s="90"/>
      <c r="E68" s="112"/>
    </row>
    <row r="69" spans="1:8">
      <c r="A69" s="93" t="s">
        <v>178</v>
      </c>
      <c r="B69" s="102">
        <f>+B67+B68</f>
        <v>3983218.57143</v>
      </c>
      <c r="C69" s="92"/>
      <c r="D69" s="90"/>
      <c r="E69" s="112"/>
    </row>
    <row r="70" spans="1:8">
      <c r="A70" s="90" t="s">
        <v>70</v>
      </c>
      <c r="B70" s="94">
        <v>800000</v>
      </c>
      <c r="C70" s="92"/>
      <c r="D70" s="90"/>
      <c r="E70" s="112"/>
      <c r="F70" s="86">
        <f>+B67-Inmuebles!H42</f>
        <v>1977691.4966000002</v>
      </c>
    </row>
    <row r="71" spans="1:8">
      <c r="A71" s="90" t="s">
        <v>71</v>
      </c>
      <c r="B71" s="94">
        <f>+D34+D39</f>
        <v>15589.92</v>
      </c>
      <c r="C71" s="92"/>
      <c r="D71" s="90"/>
      <c r="E71" s="112"/>
      <c r="H71">
        <f>+F70*0.05</f>
        <v>98884.574830000012</v>
      </c>
    </row>
    <row r="72" spans="1:8">
      <c r="A72" s="90" t="s">
        <v>72</v>
      </c>
      <c r="B72" s="103">
        <v>7.4999999999999997E-3</v>
      </c>
      <c r="C72" s="92"/>
      <c r="D72" s="90"/>
      <c r="E72" s="112"/>
    </row>
    <row r="73" spans="1:8">
      <c r="A73" s="90" t="s">
        <v>73</v>
      </c>
      <c r="B73" s="94">
        <f>+(B69-B70)*0.0075</f>
        <v>23874.139285724999</v>
      </c>
      <c r="C73" s="92"/>
      <c r="D73" s="90"/>
      <c r="E73" s="112"/>
    </row>
    <row r="74" spans="1:8">
      <c r="A74" s="90" t="s">
        <v>45</v>
      </c>
      <c r="B74" s="126">
        <v>5257.15</v>
      </c>
      <c r="C74" s="92"/>
      <c r="D74" s="90"/>
      <c r="E74" s="112"/>
    </row>
    <row r="75" spans="1:8">
      <c r="A75" s="104" t="s">
        <v>84</v>
      </c>
      <c r="B75" s="129">
        <f>+B73-B74</f>
        <v>18616.989285725002</v>
      </c>
      <c r="C75" s="105"/>
      <c r="D75" s="122"/>
      <c r="E75" s="122"/>
      <c r="H75" s="86">
        <f>+F70+H71</f>
        <v>2076576.0714300002</v>
      </c>
    </row>
    <row r="76" spans="1:8">
      <c r="H76" s="86">
        <f>+H75-B70</f>
        <v>1276576.0714300002</v>
      </c>
    </row>
    <row r="80" spans="1:8">
      <c r="H80">
        <f>+H76*0.0075</f>
        <v>9574.3205357250008</v>
      </c>
    </row>
  </sheetData>
  <mergeCells count="2">
    <mergeCell ref="B3:C3"/>
    <mergeCell ref="D3:E3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4"/>
  <sheetViews>
    <sheetView tabSelected="1" workbookViewId="0">
      <selection activeCell="C30" sqref="C30"/>
    </sheetView>
  </sheetViews>
  <sheetFormatPr baseColWidth="10" defaultRowHeight="15"/>
  <cols>
    <col min="1" max="1" width="33.42578125" bestFit="1" customWidth="1"/>
    <col min="2" max="2" width="23.7109375" bestFit="1" customWidth="1"/>
    <col min="3" max="3" width="20.85546875" customWidth="1"/>
    <col min="4" max="5" width="19.5703125" customWidth="1"/>
    <col min="6" max="6" width="17.28515625" customWidth="1"/>
    <col min="7" max="7" width="25" bestFit="1" customWidth="1"/>
    <col min="8" max="8" width="25" customWidth="1"/>
    <col min="9" max="9" width="26.7109375" customWidth="1"/>
    <col min="10" max="10" width="16.5703125" customWidth="1"/>
    <col min="11" max="11" width="16.140625" bestFit="1" customWidth="1"/>
  </cols>
  <sheetData>
    <row r="1" spans="1:11" ht="21.75" customHeight="1">
      <c r="A1" s="143"/>
      <c r="B1" t="s">
        <v>110</v>
      </c>
      <c r="C1" s="283" t="s">
        <v>283</v>
      </c>
    </row>
    <row r="2" spans="1:11">
      <c r="A2" s="144"/>
      <c r="B2" t="s">
        <v>111</v>
      </c>
    </row>
    <row r="3" spans="1:11">
      <c r="A3" s="145"/>
      <c r="B3" t="s">
        <v>112</v>
      </c>
    </row>
    <row r="4" spans="1:11">
      <c r="A4" s="84" t="s">
        <v>87</v>
      </c>
    </row>
    <row r="7" spans="1:11">
      <c r="A7" s="84" t="s">
        <v>88</v>
      </c>
      <c r="B7" s="84" t="s">
        <v>89</v>
      </c>
      <c r="C7" s="84" t="s">
        <v>90</v>
      </c>
      <c r="D7" s="84" t="s">
        <v>91</v>
      </c>
      <c r="E7" s="84" t="s">
        <v>97</v>
      </c>
      <c r="F7" s="84" t="s">
        <v>92</v>
      </c>
      <c r="G7" s="84" t="s">
        <v>109</v>
      </c>
      <c r="H7" s="84" t="s">
        <v>113</v>
      </c>
      <c r="I7" s="84" t="s">
        <v>85</v>
      </c>
      <c r="J7" s="84" t="s">
        <v>117</v>
      </c>
      <c r="K7" s="84" t="s">
        <v>118</v>
      </c>
    </row>
    <row r="8" spans="1:11">
      <c r="A8" s="146" t="s">
        <v>285</v>
      </c>
      <c r="B8" s="197">
        <v>37043</v>
      </c>
      <c r="C8" s="198">
        <v>1</v>
      </c>
      <c r="D8" s="199">
        <v>641842.6</v>
      </c>
      <c r="E8" s="199"/>
      <c r="F8" s="200">
        <v>0.5</v>
      </c>
      <c r="G8" s="201">
        <f>+C8</f>
        <v>1</v>
      </c>
      <c r="H8" s="201" t="s">
        <v>114</v>
      </c>
      <c r="I8" s="198">
        <f>+D8*F8</f>
        <v>320921.3</v>
      </c>
      <c r="J8" s="202">
        <f>557114.6*F8</f>
        <v>278557.3</v>
      </c>
      <c r="K8" s="203">
        <f>1-(J8/I8)</f>
        <v>0.1320074423230867</v>
      </c>
    </row>
    <row r="9" spans="1:11">
      <c r="A9" s="146" t="s">
        <v>286</v>
      </c>
      <c r="B9" s="197">
        <v>37935</v>
      </c>
      <c r="C9" s="198">
        <v>36000</v>
      </c>
      <c r="D9" s="199">
        <v>99294.63</v>
      </c>
      <c r="E9" s="199"/>
      <c r="F9" s="200">
        <v>0.5</v>
      </c>
      <c r="G9" s="201">
        <f t="shared" ref="G9:G16" si="0">+C9</f>
        <v>36000</v>
      </c>
      <c r="H9" s="201" t="s">
        <v>183</v>
      </c>
      <c r="I9" s="198">
        <f>+F9*D9</f>
        <v>49647.315000000002</v>
      </c>
      <c r="J9" s="209">
        <v>40100.21</v>
      </c>
      <c r="K9" s="203">
        <f>1-(J9/I9)</f>
        <v>0.19229851604260983</v>
      </c>
    </row>
    <row r="10" spans="1:11">
      <c r="A10" s="147" t="s">
        <v>287</v>
      </c>
      <c r="B10" s="204">
        <v>37043</v>
      </c>
      <c r="C10" s="205">
        <v>1</v>
      </c>
      <c r="D10" s="150"/>
      <c r="E10" s="150"/>
      <c r="F10" s="206">
        <v>0.5</v>
      </c>
      <c r="G10" s="207">
        <v>0</v>
      </c>
      <c r="H10" s="207" t="s">
        <v>115</v>
      </c>
      <c r="I10" s="208">
        <v>0</v>
      </c>
      <c r="J10" s="150"/>
      <c r="K10" s="150"/>
    </row>
    <row r="11" spans="1:11">
      <c r="A11" s="146" t="s">
        <v>288</v>
      </c>
      <c r="B11" s="197">
        <v>38065</v>
      </c>
      <c r="C11" s="198">
        <v>309988.5</v>
      </c>
      <c r="D11" s="199">
        <v>411734.74</v>
      </c>
      <c r="E11" s="199">
        <f>+C25</f>
        <v>515572.87320000003</v>
      </c>
      <c r="F11" s="200">
        <v>0.5</v>
      </c>
      <c r="G11" s="201">
        <f t="shared" si="0"/>
        <v>309988.5</v>
      </c>
      <c r="H11" s="201" t="s">
        <v>114</v>
      </c>
      <c r="I11" s="202">
        <f>MAX(D11:E11)*F11</f>
        <v>257786.43660000002</v>
      </c>
      <c r="J11" s="144">
        <v>263260.02</v>
      </c>
      <c r="K11" s="203">
        <f>1-(J11/I11)</f>
        <v>-2.1233015484415141E-2</v>
      </c>
    </row>
    <row r="12" spans="1:11">
      <c r="A12" s="147" t="s">
        <v>289</v>
      </c>
      <c r="B12" s="204">
        <v>37043</v>
      </c>
      <c r="C12" s="205">
        <v>1</v>
      </c>
      <c r="D12" s="150"/>
      <c r="E12" s="150"/>
      <c r="F12" s="206">
        <v>0.5</v>
      </c>
      <c r="G12" s="207">
        <v>0</v>
      </c>
      <c r="H12" s="207" t="s">
        <v>115</v>
      </c>
      <c r="I12" s="208">
        <v>0</v>
      </c>
      <c r="J12" s="150"/>
      <c r="K12" s="150"/>
    </row>
    <row r="13" spans="1:11">
      <c r="A13" s="146" t="s">
        <v>290</v>
      </c>
      <c r="B13" s="197">
        <v>37043</v>
      </c>
      <c r="C13" s="198">
        <v>1</v>
      </c>
      <c r="D13" s="199">
        <v>209125.15</v>
      </c>
      <c r="E13" s="199"/>
      <c r="F13" s="200">
        <v>0.5</v>
      </c>
      <c r="G13" s="201">
        <f t="shared" si="0"/>
        <v>1</v>
      </c>
      <c r="H13" s="201" t="s">
        <v>114</v>
      </c>
      <c r="I13" s="202">
        <f>+D13*F13</f>
        <v>104562.575</v>
      </c>
      <c r="J13" s="202">
        <v>83694.77</v>
      </c>
      <c r="K13" s="203">
        <f>1-(J13/I13)</f>
        <v>0.19957240915308361</v>
      </c>
    </row>
    <row r="14" spans="1:11">
      <c r="A14" s="148" t="s">
        <v>291</v>
      </c>
      <c r="B14" s="197">
        <v>39763</v>
      </c>
      <c r="C14" s="198">
        <v>101675</v>
      </c>
      <c r="D14" s="199">
        <v>193124.75</v>
      </c>
      <c r="E14" s="199">
        <v>290500</v>
      </c>
      <c r="F14" s="200">
        <v>0.35</v>
      </c>
      <c r="G14" s="201">
        <f t="shared" si="0"/>
        <v>101675</v>
      </c>
      <c r="H14" s="201" t="s">
        <v>116</v>
      </c>
      <c r="I14" s="202">
        <f>MAX(D14:E14)*F14</f>
        <v>101675</v>
      </c>
      <c r="J14" s="202">
        <v>93541</v>
      </c>
      <c r="K14" s="203">
        <f>1-(J14/I14)</f>
        <v>7.999999999999996E-2</v>
      </c>
    </row>
    <row r="15" spans="1:11">
      <c r="A15" s="147" t="s">
        <v>292</v>
      </c>
      <c r="B15" s="204">
        <v>41746</v>
      </c>
      <c r="C15" s="205">
        <v>1</v>
      </c>
      <c r="D15" s="150"/>
      <c r="E15" s="150"/>
      <c r="F15" s="206">
        <v>0.25</v>
      </c>
      <c r="G15" s="207">
        <v>0</v>
      </c>
      <c r="H15" s="207" t="s">
        <v>115</v>
      </c>
      <c r="I15" s="208">
        <v>0</v>
      </c>
      <c r="J15" s="150"/>
      <c r="K15" s="150"/>
    </row>
    <row r="16" spans="1:11">
      <c r="A16" s="146" t="s">
        <v>293</v>
      </c>
      <c r="B16" s="197">
        <v>39122</v>
      </c>
      <c r="C16" s="198">
        <v>88799.54</v>
      </c>
      <c r="D16" s="146">
        <v>65050.25</v>
      </c>
      <c r="E16" s="144">
        <v>74870</v>
      </c>
      <c r="F16" s="200">
        <v>1</v>
      </c>
      <c r="G16" s="201">
        <f t="shared" si="0"/>
        <v>88799.54</v>
      </c>
      <c r="H16" s="201" t="s">
        <v>114</v>
      </c>
      <c r="I16" s="202">
        <f>MAX(D16:E16)*F16</f>
        <v>74870</v>
      </c>
      <c r="J16" s="144">
        <v>75809.33</v>
      </c>
      <c r="K16" s="203">
        <f>1-(J16/I16)</f>
        <v>-1.2546146654200729E-2</v>
      </c>
    </row>
    <row r="17" spans="1:11">
      <c r="A17" s="279" t="s">
        <v>294</v>
      </c>
      <c r="B17" s="282">
        <v>42650</v>
      </c>
      <c r="C17" s="279">
        <f>50000*15.4</f>
        <v>770000</v>
      </c>
      <c r="D17" s="279">
        <v>36492.36</v>
      </c>
      <c r="E17" s="280">
        <f>+C32</f>
        <v>757680</v>
      </c>
      <c r="F17" s="280">
        <v>1</v>
      </c>
      <c r="G17" s="280">
        <f>+C17</f>
        <v>770000</v>
      </c>
      <c r="H17" s="280" t="s">
        <v>282</v>
      </c>
      <c r="I17" s="280">
        <f>MAX(D17:E17)*F17</f>
        <v>757680</v>
      </c>
      <c r="J17" s="280">
        <v>0</v>
      </c>
      <c r="K17" s="281">
        <v>-1.2546146654200729E-2</v>
      </c>
    </row>
    <row r="18" spans="1:11">
      <c r="A18" s="84"/>
      <c r="B18" s="113"/>
      <c r="C18" s="165">
        <f>SUM(C8:C16)</f>
        <v>536468.04</v>
      </c>
      <c r="G18" s="165">
        <f>SUM(G8:G16)</f>
        <v>536465.04</v>
      </c>
      <c r="I18" s="165">
        <f>SUM(I8:I17)</f>
        <v>1667142.6266000001</v>
      </c>
    </row>
    <row r="19" spans="1:11">
      <c r="A19" s="135"/>
      <c r="B19" s="121"/>
    </row>
    <row r="20" spans="1:11" ht="15.75" thickBot="1"/>
    <row r="21" spans="1:11">
      <c r="A21" s="152" t="str">
        <f>+A11</f>
        <v xml:space="preserve">NOGOYA </v>
      </c>
      <c r="B21" s="153" t="s">
        <v>119</v>
      </c>
      <c r="C21" s="154">
        <f>+C11*2</f>
        <v>619977</v>
      </c>
      <c r="E21" s="152" t="str">
        <f>+A14</f>
        <v xml:space="preserve">CONDARCO </v>
      </c>
      <c r="F21" s="153" t="s">
        <v>119</v>
      </c>
      <c r="G21" s="154">
        <f>+C14/0.35</f>
        <v>290500</v>
      </c>
    </row>
    <row r="22" spans="1:11">
      <c r="A22" s="155" t="s">
        <v>123</v>
      </c>
      <c r="B22" s="120" t="s">
        <v>120</v>
      </c>
      <c r="C22" s="156">
        <f>+C21*0.2</f>
        <v>123995.40000000001</v>
      </c>
      <c r="E22" s="155" t="s">
        <v>123</v>
      </c>
      <c r="F22" s="120" t="s">
        <v>120</v>
      </c>
      <c r="G22" s="156">
        <v>0</v>
      </c>
    </row>
    <row r="23" spans="1:11">
      <c r="A23" s="155"/>
      <c r="B23" s="120" t="s">
        <v>121</v>
      </c>
      <c r="C23" s="157">
        <f>+C21-C22</f>
        <v>495981.6</v>
      </c>
      <c r="E23" s="155"/>
      <c r="F23" s="120" t="s">
        <v>121</v>
      </c>
      <c r="G23" s="157">
        <f>+G21-G22</f>
        <v>290500</v>
      </c>
    </row>
    <row r="24" spans="1:11" ht="15.75" thickBot="1">
      <c r="A24" s="155"/>
      <c r="B24" s="120" t="s">
        <v>124</v>
      </c>
      <c r="C24" s="158">
        <f>+C23*0.26</f>
        <v>128955.216</v>
      </c>
      <c r="E24" s="155"/>
      <c r="F24" s="120" t="s">
        <v>124</v>
      </c>
      <c r="G24" s="158">
        <v>0</v>
      </c>
    </row>
    <row r="25" spans="1:11" ht="15.75" thickBot="1">
      <c r="A25" s="161"/>
      <c r="B25" s="162" t="s">
        <v>122</v>
      </c>
      <c r="C25" s="163">
        <f>+(C21-C24)*1.05</f>
        <v>515572.87320000003</v>
      </c>
      <c r="D25" s="151"/>
      <c r="E25" s="161"/>
      <c r="F25" s="162" t="s">
        <v>122</v>
      </c>
      <c r="G25" s="163">
        <f>+(G21-G24)</f>
        <v>290500</v>
      </c>
    </row>
    <row r="27" spans="1:11" ht="15.75" thickBot="1"/>
    <row r="28" spans="1:11">
      <c r="A28" s="152" t="str">
        <f>+A17</f>
        <v xml:space="preserve">TERRADA </v>
      </c>
      <c r="B28" s="153" t="s">
        <v>119</v>
      </c>
      <c r="C28" s="154">
        <f>+C17</f>
        <v>770000</v>
      </c>
    </row>
    <row r="29" spans="1:11">
      <c r="A29" s="155" t="s">
        <v>123</v>
      </c>
      <c r="B29" s="120" t="s">
        <v>120</v>
      </c>
      <c r="C29" s="156">
        <f>+C28*0.2</f>
        <v>154000</v>
      </c>
    </row>
    <row r="30" spans="1:11">
      <c r="A30" s="155"/>
      <c r="B30" s="120" t="s">
        <v>121</v>
      </c>
      <c r="C30" s="157">
        <f>+C28-C29</f>
        <v>616000</v>
      </c>
    </row>
    <row r="31" spans="1:11" ht="15.75" thickBot="1">
      <c r="A31" s="155"/>
      <c r="B31" s="120" t="s">
        <v>124</v>
      </c>
      <c r="C31" s="158">
        <f>+C30*0.02</f>
        <v>12320</v>
      </c>
    </row>
    <row r="32" spans="1:11" ht="15.75" thickBot="1">
      <c r="A32" s="161"/>
      <c r="B32" s="162" t="s">
        <v>122</v>
      </c>
      <c r="C32" s="163">
        <f>+C29+C30-C31</f>
        <v>757680</v>
      </c>
    </row>
    <row r="35" spans="1:9" ht="15.75" thickBot="1"/>
    <row r="36" spans="1:9" ht="15.75" thickBot="1">
      <c r="A36" s="294" t="s">
        <v>125</v>
      </c>
      <c r="B36" s="295"/>
      <c r="C36" s="153"/>
      <c r="D36" s="153"/>
      <c r="E36" s="153"/>
      <c r="F36" s="166"/>
    </row>
    <row r="37" spans="1:9" ht="16.5" thickTop="1" thickBot="1">
      <c r="A37" s="155"/>
      <c r="B37" s="120"/>
      <c r="C37" s="120"/>
      <c r="D37" s="120"/>
      <c r="E37" s="120"/>
      <c r="F37" s="167"/>
    </row>
    <row r="38" spans="1:9">
      <c r="A38" s="111" t="s">
        <v>126</v>
      </c>
      <c r="B38" s="111" t="s">
        <v>127</v>
      </c>
      <c r="C38" s="111" t="s">
        <v>128</v>
      </c>
      <c r="D38" s="111" t="s">
        <v>107</v>
      </c>
      <c r="E38" s="111" t="s">
        <v>129</v>
      </c>
      <c r="F38" s="141" t="s">
        <v>130</v>
      </c>
      <c r="G38" s="171" t="s">
        <v>132</v>
      </c>
      <c r="H38" s="172" t="s">
        <v>131</v>
      </c>
      <c r="I38" s="170" t="s">
        <v>133</v>
      </c>
    </row>
    <row r="39" spans="1:9">
      <c r="A39" s="111" t="str">
        <f>+A10</f>
        <v xml:space="preserve">MELINCUE </v>
      </c>
      <c r="B39" s="118">
        <v>1078000</v>
      </c>
      <c r="C39" s="168">
        <f>+F10</f>
        <v>0.5</v>
      </c>
      <c r="D39" s="111">
        <v>1</v>
      </c>
      <c r="E39" s="118">
        <f>+(B39-D39)*C39</f>
        <v>538999.5</v>
      </c>
      <c r="F39" s="169">
        <f>+(B39/15.4)*C39</f>
        <v>35000</v>
      </c>
      <c r="G39" s="155">
        <v>15.79</v>
      </c>
      <c r="H39" s="157">
        <f>+G39*F39</f>
        <v>552650</v>
      </c>
    </row>
    <row r="40" spans="1:9">
      <c r="A40" s="111" t="str">
        <f>+A12</f>
        <v xml:space="preserve">TINOGASTA </v>
      </c>
      <c r="B40" s="118">
        <f>210000*14.9</f>
        <v>3129000</v>
      </c>
      <c r="C40" s="168">
        <f>+F12</f>
        <v>0.5</v>
      </c>
      <c r="D40" s="111">
        <v>1</v>
      </c>
      <c r="E40" s="118">
        <f>+(B40-D40)*C40</f>
        <v>1564499.5</v>
      </c>
      <c r="F40" s="169">
        <f>+(B40/14.9)*C40-50000</f>
        <v>55000</v>
      </c>
      <c r="G40" s="155">
        <v>15.79</v>
      </c>
      <c r="H40" s="157">
        <f>+G40*F40</f>
        <v>868450</v>
      </c>
    </row>
    <row r="41" spans="1:9" ht="15.75" thickBot="1">
      <c r="A41" s="111" t="str">
        <f>+A15</f>
        <v xml:space="preserve">CONSTITUCION </v>
      </c>
      <c r="B41" s="118">
        <f>100000*14.9</f>
        <v>1490000</v>
      </c>
      <c r="C41" s="168">
        <f>+F15</f>
        <v>0.25</v>
      </c>
      <c r="D41" s="111">
        <v>1</v>
      </c>
      <c r="E41" s="118">
        <f>+(B41-D41)*C41</f>
        <v>372499.75</v>
      </c>
      <c r="F41" s="169">
        <f>+(B41/14.9)*C41</f>
        <v>25000</v>
      </c>
      <c r="G41" s="159">
        <v>15.79</v>
      </c>
      <c r="H41" s="160">
        <f>+G41*F41</f>
        <v>394750</v>
      </c>
    </row>
    <row r="42" spans="1:9">
      <c r="D42">
        <f>SUM(D39:D41)</f>
        <v>3</v>
      </c>
      <c r="E42" s="1">
        <f>SUM(E39:E41)</f>
        <v>2475998.75</v>
      </c>
      <c r="F42" s="1">
        <f>SUM(F39:F41)</f>
        <v>115000</v>
      </c>
      <c r="H42" s="1">
        <f>SUM(H39:H41)</f>
        <v>1815850</v>
      </c>
    </row>
    <row r="44" spans="1:9">
      <c r="H44" s="1"/>
    </row>
  </sheetData>
  <mergeCells count="1">
    <mergeCell ref="A36:B36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workbookViewId="0">
      <selection activeCell="A9" sqref="A9"/>
    </sheetView>
  </sheetViews>
  <sheetFormatPr baseColWidth="10" defaultRowHeight="15"/>
  <cols>
    <col min="1" max="1" width="37" bestFit="1" customWidth="1"/>
    <col min="2" max="2" width="18.140625" customWidth="1"/>
    <col min="3" max="3" width="26" customWidth="1"/>
    <col min="4" max="4" width="19.140625" customWidth="1"/>
    <col min="5" max="5" width="19.5703125" customWidth="1"/>
    <col min="6" max="6" width="21.85546875" customWidth="1"/>
    <col min="7" max="7" width="16.140625" customWidth="1"/>
    <col min="8" max="8" width="12.42578125" bestFit="1" customWidth="1"/>
  </cols>
  <sheetData>
    <row r="1" spans="1:18" ht="31.5">
      <c r="A1" s="283" t="s">
        <v>283</v>
      </c>
    </row>
    <row r="5" spans="1:18" ht="15.75" thickBot="1">
      <c r="A5" s="180" t="s">
        <v>94</v>
      </c>
    </row>
    <row r="6" spans="1:18" ht="15.75" thickBot="1">
      <c r="A6" s="177" t="s">
        <v>99</v>
      </c>
      <c r="B6" s="178" t="s">
        <v>90</v>
      </c>
      <c r="C6" s="178" t="s">
        <v>95</v>
      </c>
      <c r="D6" s="178" t="s">
        <v>96</v>
      </c>
      <c r="E6" s="178" t="s">
        <v>97</v>
      </c>
      <c r="F6" s="178" t="s">
        <v>98</v>
      </c>
      <c r="G6" s="178" t="s">
        <v>100</v>
      </c>
      <c r="H6" s="179" t="s">
        <v>146</v>
      </c>
    </row>
    <row r="7" spans="1:18" ht="15.75" thickBot="1">
      <c r="A7" s="159">
        <v>841</v>
      </c>
      <c r="B7" s="211">
        <v>48225</v>
      </c>
      <c r="C7" s="175">
        <v>39722</v>
      </c>
      <c r="D7" s="174">
        <f>+(B7/5)*5</f>
        <v>48225</v>
      </c>
      <c r="E7" s="174">
        <f t="shared" ref="E7:E8" si="0">+B7-D7</f>
        <v>0</v>
      </c>
      <c r="F7" s="176">
        <v>0</v>
      </c>
      <c r="G7" s="174">
        <v>100</v>
      </c>
      <c r="H7" s="227">
        <f>MAX(E7:F7)</f>
        <v>0</v>
      </c>
    </row>
    <row r="8" spans="1:18" ht="15.75" thickBot="1">
      <c r="A8" s="223">
        <v>134</v>
      </c>
      <c r="B8" s="224">
        <v>85500</v>
      </c>
      <c r="C8" s="175">
        <v>41974</v>
      </c>
      <c r="D8" s="174">
        <f>+(B8/5)*3</f>
        <v>51300</v>
      </c>
      <c r="E8" s="174">
        <f t="shared" si="0"/>
        <v>34200</v>
      </c>
      <c r="F8" s="225">
        <f>+I14</f>
        <v>167000</v>
      </c>
      <c r="G8" s="226">
        <v>100</v>
      </c>
      <c r="H8" s="180">
        <f>MAX(E8:F8)</f>
        <v>167000</v>
      </c>
    </row>
    <row r="9" spans="1:18">
      <c r="A9" s="107"/>
      <c r="B9" s="228">
        <f>SUM(B7:B8)</f>
        <v>133725</v>
      </c>
      <c r="H9" s="210">
        <f>SUM(H7:H8)</f>
        <v>167000</v>
      </c>
    </row>
    <row r="10" spans="1:18" ht="15.75" thickBot="1">
      <c r="A10" s="107"/>
    </row>
    <row r="11" spans="1:18" ht="15.75" thickBot="1">
      <c r="A11" s="180" t="s">
        <v>197</v>
      </c>
      <c r="B11" s="153"/>
      <c r="C11" s="153"/>
      <c r="D11" s="153"/>
      <c r="E11" s="153"/>
      <c r="F11" s="153"/>
      <c r="G11" s="153"/>
      <c r="H11" s="153"/>
      <c r="I11" s="296" t="s">
        <v>135</v>
      </c>
      <c r="J11" s="297"/>
      <c r="K11" s="297"/>
      <c r="L11" s="297"/>
      <c r="M11" s="297"/>
      <c r="N11" s="297"/>
      <c r="O11" s="297"/>
      <c r="P11" s="297"/>
      <c r="Q11" s="297"/>
      <c r="R11" s="298"/>
    </row>
    <row r="12" spans="1:18">
      <c r="A12" s="299" t="s">
        <v>190</v>
      </c>
      <c r="B12" s="300"/>
      <c r="C12" s="300"/>
      <c r="D12" s="301"/>
      <c r="E12" s="302" t="s">
        <v>191</v>
      </c>
      <c r="F12" s="302" t="s">
        <v>192</v>
      </c>
      <c r="G12" s="302" t="s">
        <v>193</v>
      </c>
      <c r="H12" s="304" t="s">
        <v>135</v>
      </c>
      <c r="I12" s="300"/>
      <c r="J12" s="300"/>
      <c r="K12" s="300"/>
      <c r="L12" s="300"/>
      <c r="M12" s="300"/>
      <c r="N12" s="300"/>
      <c r="O12" s="300"/>
      <c r="P12" s="300"/>
      <c r="Q12" s="301"/>
      <c r="R12" s="213" t="s">
        <v>145</v>
      </c>
    </row>
    <row r="13" spans="1:18">
      <c r="A13" s="214" t="s">
        <v>194</v>
      </c>
      <c r="B13" s="305" t="s">
        <v>195</v>
      </c>
      <c r="C13" s="306"/>
      <c r="D13" s="212" t="s">
        <v>196</v>
      </c>
      <c r="E13" s="303"/>
      <c r="F13" s="303"/>
      <c r="G13" s="303"/>
      <c r="H13" s="173" t="s">
        <v>136</v>
      </c>
      <c r="I13" s="173" t="s">
        <v>137</v>
      </c>
      <c r="J13" s="173" t="s">
        <v>138</v>
      </c>
      <c r="K13" s="173" t="s">
        <v>139</v>
      </c>
      <c r="L13" s="173" t="s">
        <v>140</v>
      </c>
      <c r="M13" s="173" t="s">
        <v>141</v>
      </c>
      <c r="N13" s="173" t="s">
        <v>142</v>
      </c>
      <c r="O13" s="173" t="s">
        <v>143</v>
      </c>
      <c r="P13" s="173" t="s">
        <v>144</v>
      </c>
      <c r="Q13" s="173" t="s">
        <v>145</v>
      </c>
      <c r="R13" s="167"/>
    </row>
    <row r="14" spans="1:18" ht="15.75" thickBot="1">
      <c r="A14" s="215" t="s">
        <v>184</v>
      </c>
      <c r="B14" s="216" t="s">
        <v>185</v>
      </c>
      <c r="C14" s="217" t="s">
        <v>186</v>
      </c>
      <c r="D14" s="218" t="s">
        <v>187</v>
      </c>
      <c r="E14" s="219" t="s">
        <v>134</v>
      </c>
      <c r="F14" s="220" t="s">
        <v>188</v>
      </c>
      <c r="G14" s="220" t="s">
        <v>189</v>
      </c>
      <c r="H14" s="221">
        <v>159000</v>
      </c>
      <c r="I14" s="181">
        <v>167000</v>
      </c>
      <c r="J14" s="221">
        <v>170000</v>
      </c>
      <c r="K14" s="221">
        <v>180000</v>
      </c>
      <c r="L14" s="221">
        <v>185000</v>
      </c>
      <c r="M14" s="221"/>
      <c r="N14" s="221"/>
      <c r="O14" s="221"/>
      <c r="P14" s="221"/>
      <c r="Q14" s="221"/>
      <c r="R14" s="222"/>
    </row>
    <row r="15" spans="1:18">
      <c r="E15" s="120"/>
    </row>
    <row r="16" spans="1:18">
      <c r="G16" s="86"/>
    </row>
  </sheetData>
  <mergeCells count="7">
    <mergeCell ref="I11:R11"/>
    <mergeCell ref="A12:D12"/>
    <mergeCell ref="E12:E13"/>
    <mergeCell ref="F12:F13"/>
    <mergeCell ref="G12:G13"/>
    <mergeCell ref="H12:Q12"/>
    <mergeCell ref="B13:C13"/>
  </mergeCells>
  <pageMargins left="0.70866141732283472" right="0.70866141732283472" top="0.74803149606299213" bottom="0.74803149606299213" header="0.31496062992125984" footer="0.31496062992125984"/>
  <pageSetup paperSize="9" scale="48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1"/>
  <sheetViews>
    <sheetView topLeftCell="F1" workbookViewId="0">
      <selection activeCell="B9" sqref="B9"/>
    </sheetView>
  </sheetViews>
  <sheetFormatPr baseColWidth="10" defaultRowHeight="15"/>
  <cols>
    <col min="2" max="3" width="12" bestFit="1" customWidth="1"/>
  </cols>
  <sheetData>
    <row r="1" spans="1:3" ht="31.5">
      <c r="A1" s="283" t="s">
        <v>283</v>
      </c>
    </row>
    <row r="4" spans="1:3">
      <c r="A4" t="s">
        <v>295</v>
      </c>
    </row>
    <row r="5" spans="1:3">
      <c r="A5" t="s">
        <v>172</v>
      </c>
      <c r="B5" t="s">
        <v>296</v>
      </c>
    </row>
    <row r="6" spans="1:3">
      <c r="A6" t="s">
        <v>173</v>
      </c>
    </row>
    <row r="7" spans="1:3">
      <c r="A7" s="142">
        <v>0.5</v>
      </c>
      <c r="B7" t="s">
        <v>169</v>
      </c>
      <c r="C7" t="s">
        <v>297</v>
      </c>
    </row>
    <row r="8" spans="1:3">
      <c r="A8" s="142">
        <v>0.5</v>
      </c>
      <c r="B8" t="s">
        <v>298</v>
      </c>
      <c r="C8" t="s">
        <v>174</v>
      </c>
    </row>
    <row r="10" spans="1:3">
      <c r="A10" t="s">
        <v>175</v>
      </c>
      <c r="B10" s="188">
        <v>2015</v>
      </c>
      <c r="C10" s="188">
        <v>2016</v>
      </c>
    </row>
    <row r="11" spans="1:3">
      <c r="B11" s="189">
        <v>13905</v>
      </c>
      <c r="C11" s="189">
        <f>+B11</f>
        <v>13905</v>
      </c>
    </row>
  </sheetData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8"/>
  <sheetViews>
    <sheetView workbookViewId="0">
      <selection activeCell="B14" sqref="B14"/>
    </sheetView>
  </sheetViews>
  <sheetFormatPr baseColWidth="10" defaultRowHeight="15"/>
  <cols>
    <col min="1" max="1" width="14.85546875" customWidth="1"/>
    <col min="2" max="2" width="13.42578125" bestFit="1" customWidth="1"/>
    <col min="3" max="3" width="13" customWidth="1"/>
  </cols>
  <sheetData>
    <row r="1" spans="1:3" ht="31.5">
      <c r="A1" s="283" t="s">
        <v>283</v>
      </c>
    </row>
    <row r="3" spans="1:3" ht="15.75" thickBot="1"/>
    <row r="4" spans="1:3">
      <c r="A4" s="152" t="s">
        <v>295</v>
      </c>
      <c r="B4" s="153"/>
      <c r="C4" s="166"/>
    </row>
    <row r="5" spans="1:3">
      <c r="A5" s="155" t="s">
        <v>172</v>
      </c>
      <c r="B5" s="120" t="s">
        <v>299</v>
      </c>
      <c r="C5" s="167"/>
    </row>
    <row r="6" spans="1:3">
      <c r="A6" s="155"/>
      <c r="B6" s="120"/>
      <c r="C6" s="167"/>
    </row>
    <row r="7" spans="1:3">
      <c r="A7" s="183" t="s">
        <v>176</v>
      </c>
      <c r="B7" s="120">
        <v>2015</v>
      </c>
      <c r="C7" s="167">
        <v>2016</v>
      </c>
    </row>
    <row r="8" spans="1:3">
      <c r="A8" s="155"/>
      <c r="B8" s="120">
        <v>137369.18</v>
      </c>
      <c r="C8" s="167">
        <f>+B8</f>
        <v>137369.18</v>
      </c>
    </row>
    <row r="9" spans="1:3">
      <c r="A9" s="155"/>
      <c r="B9" s="120"/>
      <c r="C9" s="167"/>
    </row>
    <row r="10" spans="1:3" ht="15.75" thickBot="1">
      <c r="A10" s="159"/>
      <c r="B10" s="226"/>
      <c r="C10" s="182"/>
    </row>
    <row r="11" spans="1:3" ht="15.75" thickBot="1"/>
    <row r="12" spans="1:3">
      <c r="A12" s="152" t="s">
        <v>297</v>
      </c>
      <c r="B12" s="153"/>
      <c r="C12" s="166"/>
    </row>
    <row r="13" spans="1:3">
      <c r="A13" s="155" t="s">
        <v>172</v>
      </c>
      <c r="B13" s="120">
        <v>26666666661</v>
      </c>
      <c r="C13" s="167"/>
    </row>
    <row r="14" spans="1:3">
      <c r="A14" s="155"/>
      <c r="B14" s="120"/>
      <c r="C14" s="167"/>
    </row>
    <row r="15" spans="1:3">
      <c r="A15" s="183" t="s">
        <v>176</v>
      </c>
      <c r="B15" s="120">
        <v>2015</v>
      </c>
      <c r="C15" s="167">
        <v>2016</v>
      </c>
    </row>
    <row r="16" spans="1:3">
      <c r="A16" s="155"/>
      <c r="B16" s="120">
        <v>0</v>
      </c>
      <c r="C16" s="229">
        <f>11836.82*0.5</f>
        <v>5918.41</v>
      </c>
    </row>
    <row r="17" spans="1:3">
      <c r="A17" s="155"/>
      <c r="B17" s="120"/>
      <c r="C17" s="167"/>
    </row>
    <row r="18" spans="1:3" ht="15.75" thickBot="1">
      <c r="A18" s="159"/>
      <c r="B18" s="226"/>
      <c r="C18" s="182"/>
    </row>
  </sheetData>
  <pageMargins left="0.70866141732283472" right="0.70866141732283472" top="0.74803149606299213" bottom="0.74803149606299213" header="0.31496062992125984" footer="0.31496062992125984"/>
  <pageSetup orientation="landscape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"/>
  <sheetViews>
    <sheetView workbookViewId="0">
      <selection activeCell="B13" sqref="B13"/>
    </sheetView>
  </sheetViews>
  <sheetFormatPr baseColWidth="10" defaultRowHeight="15"/>
  <cols>
    <col min="1" max="1" width="18.42578125" bestFit="1" customWidth="1"/>
    <col min="2" max="2" width="18" bestFit="1" customWidth="1"/>
    <col min="4" max="4" width="25.7109375" bestFit="1" customWidth="1"/>
    <col min="8" max="8" width="12" bestFit="1" customWidth="1"/>
    <col min="9" max="9" width="15" customWidth="1"/>
    <col min="10" max="10" width="22.140625" customWidth="1"/>
    <col min="11" max="11" width="17.42578125" customWidth="1"/>
  </cols>
  <sheetData>
    <row r="1" spans="1:11" ht="31.5">
      <c r="A1" s="283" t="s">
        <v>283</v>
      </c>
    </row>
    <row r="3" spans="1:11" ht="15.75" thickBot="1"/>
    <row r="4" spans="1:11">
      <c r="A4" s="245"/>
      <c r="B4" s="246"/>
      <c r="C4" s="246"/>
      <c r="D4" s="246"/>
      <c r="E4" s="246"/>
      <c r="F4" s="246"/>
      <c r="G4" s="246"/>
      <c r="H4" s="307" t="s">
        <v>247</v>
      </c>
      <c r="I4" s="307"/>
      <c r="J4" s="307" t="s">
        <v>250</v>
      </c>
      <c r="K4" s="308"/>
    </row>
    <row r="5" spans="1:11" ht="30">
      <c r="A5" s="247" t="s">
        <v>164</v>
      </c>
      <c r="B5" s="239" t="s">
        <v>165</v>
      </c>
      <c r="C5" s="239" t="s">
        <v>166</v>
      </c>
      <c r="D5" s="239" t="s">
        <v>163</v>
      </c>
      <c r="E5" s="239" t="s">
        <v>167</v>
      </c>
      <c r="F5" s="111"/>
      <c r="G5" s="111"/>
      <c r="H5" s="240" t="s">
        <v>246</v>
      </c>
      <c r="I5" s="240" t="s">
        <v>198</v>
      </c>
      <c r="J5" s="240" t="s">
        <v>249</v>
      </c>
      <c r="K5" s="248" t="s">
        <v>248</v>
      </c>
    </row>
    <row r="6" spans="1:11">
      <c r="A6" s="249" t="s">
        <v>199</v>
      </c>
      <c r="B6" s="111">
        <v>1</v>
      </c>
      <c r="C6" s="101" t="s">
        <v>200</v>
      </c>
      <c r="D6" s="241">
        <v>1</v>
      </c>
      <c r="E6" s="111" t="s">
        <v>300</v>
      </c>
      <c r="F6" s="309" t="s">
        <v>201</v>
      </c>
      <c r="G6" s="309"/>
      <c r="H6" s="242">
        <v>584.78</v>
      </c>
      <c r="I6" s="243">
        <v>0</v>
      </c>
      <c r="J6" s="111">
        <v>0</v>
      </c>
      <c r="K6" s="250">
        <v>0</v>
      </c>
    </row>
    <row r="7" spans="1:11">
      <c r="A7" s="249"/>
      <c r="B7" s="111">
        <v>2</v>
      </c>
      <c r="C7" s="101" t="s">
        <v>200</v>
      </c>
      <c r="D7" s="244">
        <v>1</v>
      </c>
      <c r="E7" s="111"/>
      <c r="F7" s="309"/>
      <c r="G7" s="309"/>
      <c r="H7" s="261">
        <v>14383.06</v>
      </c>
      <c r="I7" s="243">
        <v>0</v>
      </c>
      <c r="J7" s="111">
        <v>0</v>
      </c>
      <c r="K7" s="250">
        <v>0</v>
      </c>
    </row>
    <row r="8" spans="1:11" ht="15.75" customHeight="1">
      <c r="A8" s="249"/>
      <c r="B8" s="111"/>
      <c r="C8" s="111"/>
      <c r="D8" s="241">
        <v>1</v>
      </c>
      <c r="E8" s="111"/>
      <c r="F8" s="111"/>
      <c r="G8" s="111"/>
      <c r="H8" s="111"/>
      <c r="I8" s="243"/>
      <c r="J8" s="111"/>
      <c r="K8" s="250"/>
    </row>
    <row r="9" spans="1:11">
      <c r="A9" s="249" t="s">
        <v>168</v>
      </c>
      <c r="B9" s="111">
        <v>3</v>
      </c>
      <c r="C9" s="101" t="s">
        <v>200</v>
      </c>
      <c r="D9" s="241">
        <v>1</v>
      </c>
      <c r="E9" s="111" t="str">
        <f>+E6</f>
        <v>XXXXXXXXXXXXXXXXXX</v>
      </c>
      <c r="F9" s="111"/>
      <c r="G9" s="111"/>
      <c r="H9" s="111">
        <v>75.94</v>
      </c>
      <c r="I9" s="243">
        <v>261.27999999999997</v>
      </c>
      <c r="J9" s="243">
        <f>+I9</f>
        <v>261.27999999999997</v>
      </c>
      <c r="K9" s="250"/>
    </row>
    <row r="10" spans="1:11">
      <c r="A10" s="251"/>
      <c r="B10" s="111">
        <v>4</v>
      </c>
      <c r="C10" s="101" t="s">
        <v>200</v>
      </c>
      <c r="D10" s="241">
        <v>1</v>
      </c>
      <c r="E10" s="111" t="str">
        <f>+E9</f>
        <v>XXXXXXXXXXXXXXXXXX</v>
      </c>
      <c r="F10" s="111"/>
      <c r="G10" s="111"/>
      <c r="H10" s="260">
        <v>12325.83</v>
      </c>
      <c r="I10" s="243">
        <v>1684.92</v>
      </c>
      <c r="J10" s="111">
        <v>0</v>
      </c>
      <c r="K10" s="252">
        <f>+I10</f>
        <v>1684.92</v>
      </c>
    </row>
    <row r="11" spans="1:11">
      <c r="A11" s="251"/>
      <c r="B11" s="111"/>
      <c r="C11" s="111"/>
      <c r="D11" s="111">
        <v>1</v>
      </c>
      <c r="E11" s="111"/>
      <c r="F11" s="111"/>
      <c r="G11" s="111"/>
      <c r="H11" s="111"/>
      <c r="I11" s="243"/>
      <c r="J11" s="111"/>
      <c r="K11" s="250"/>
    </row>
    <row r="12" spans="1:11" ht="15.75" thickBot="1">
      <c r="A12" s="253" t="s">
        <v>251</v>
      </c>
      <c r="B12" s="254">
        <v>5</v>
      </c>
      <c r="C12" s="255" t="s">
        <v>200</v>
      </c>
      <c r="D12" s="256">
        <v>1</v>
      </c>
      <c r="E12" s="254"/>
      <c r="F12" s="254"/>
      <c r="G12" s="254"/>
      <c r="H12" s="262">
        <v>23683.38</v>
      </c>
      <c r="I12" s="257">
        <v>0</v>
      </c>
      <c r="J12" s="254">
        <v>0</v>
      </c>
      <c r="K12" s="258">
        <v>0</v>
      </c>
    </row>
    <row r="13" spans="1:11" ht="15.75" thickBot="1">
      <c r="A13" s="238" t="s">
        <v>101</v>
      </c>
      <c r="H13" s="187">
        <f>SUM(H6:H12)</f>
        <v>51052.990000000005</v>
      </c>
      <c r="I13" s="187">
        <f>SUM(I6:I12)</f>
        <v>1946.2</v>
      </c>
      <c r="J13" s="187">
        <f>SUM(J6:J12)</f>
        <v>261.27999999999997</v>
      </c>
      <c r="K13" s="187">
        <f>SUM(K6:K12)</f>
        <v>1684.92</v>
      </c>
    </row>
    <row r="15" spans="1:11">
      <c r="H15" s="259">
        <f>+H12+H10+H7</f>
        <v>50392.27</v>
      </c>
    </row>
    <row r="16" spans="1:11">
      <c r="H16">
        <f>+'Participaciones Sociedad'!B11</f>
        <v>13905</v>
      </c>
    </row>
    <row r="17" spans="8:8">
      <c r="H17" s="259">
        <f>+H16+H15</f>
        <v>64297.27</v>
      </c>
    </row>
  </sheetData>
  <mergeCells count="3">
    <mergeCell ref="J4:K4"/>
    <mergeCell ref="F6:G7"/>
    <mergeCell ref="H4:I4"/>
  </mergeCells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9"/>
  <sheetViews>
    <sheetView workbookViewId="0">
      <selection activeCell="B15" sqref="B15"/>
    </sheetView>
  </sheetViews>
  <sheetFormatPr baseColWidth="10" defaultRowHeight="15"/>
  <cols>
    <col min="1" max="1" width="10.5703125" bestFit="1" customWidth="1"/>
    <col min="2" max="2" width="101.28515625" customWidth="1"/>
    <col min="3" max="3" width="9.140625" bestFit="1" customWidth="1"/>
    <col min="4" max="4" width="11.28515625" bestFit="1" customWidth="1"/>
  </cols>
  <sheetData>
    <row r="1" spans="1:4" ht="31.5">
      <c r="A1" s="283" t="s">
        <v>283</v>
      </c>
    </row>
    <row r="3" spans="1:4" ht="15.75">
      <c r="A3" s="310" t="s">
        <v>147</v>
      </c>
      <c r="B3" s="310"/>
      <c r="C3" s="310"/>
      <c r="D3" s="310"/>
    </row>
    <row r="4" spans="1:4" ht="15.75">
      <c r="A4" s="184" t="s">
        <v>148</v>
      </c>
      <c r="B4" s="184" t="s">
        <v>149</v>
      </c>
      <c r="C4" s="184" t="s">
        <v>150</v>
      </c>
      <c r="D4" s="184" t="s">
        <v>151</v>
      </c>
    </row>
    <row r="5" spans="1:4" ht="15.75">
      <c r="A5" s="185" t="s">
        <v>161</v>
      </c>
      <c r="B5" s="185" t="s">
        <v>210</v>
      </c>
      <c r="C5" s="185" t="s">
        <v>153</v>
      </c>
      <c r="D5" s="185" t="s">
        <v>211</v>
      </c>
    </row>
    <row r="6" spans="1:4" ht="15.75">
      <c r="A6" s="185" t="s">
        <v>161</v>
      </c>
      <c r="B6" s="185" t="s">
        <v>162</v>
      </c>
      <c r="C6" s="185" t="s">
        <v>153</v>
      </c>
      <c r="D6" s="185" t="s">
        <v>214</v>
      </c>
    </row>
    <row r="7" spans="1:4" ht="15.75">
      <c r="A7" s="185" t="s">
        <v>161</v>
      </c>
      <c r="B7" s="185" t="s">
        <v>217</v>
      </c>
      <c r="C7" s="185" t="s">
        <v>153</v>
      </c>
      <c r="D7" s="185" t="s">
        <v>218</v>
      </c>
    </row>
    <row r="8" spans="1:4" ht="15.75">
      <c r="A8" s="186" t="s">
        <v>161</v>
      </c>
      <c r="B8" s="186" t="s">
        <v>217</v>
      </c>
      <c r="C8" s="186" t="s">
        <v>159</v>
      </c>
      <c r="D8" s="186" t="s">
        <v>219</v>
      </c>
    </row>
    <row r="9" spans="1:4" ht="15.75">
      <c r="A9" s="186" t="s">
        <v>152</v>
      </c>
      <c r="B9" s="186" t="s">
        <v>204</v>
      </c>
      <c r="C9" s="186" t="s">
        <v>153</v>
      </c>
      <c r="D9" s="186" t="s">
        <v>205</v>
      </c>
    </row>
    <row r="10" spans="1:4" ht="15.75">
      <c r="A10" s="186" t="s">
        <v>152</v>
      </c>
      <c r="B10" s="186" t="s">
        <v>206</v>
      </c>
      <c r="C10" s="186" t="s">
        <v>153</v>
      </c>
      <c r="D10" s="186" t="s">
        <v>207</v>
      </c>
    </row>
    <row r="11" spans="1:4" ht="15.75">
      <c r="A11" s="186" t="s">
        <v>152</v>
      </c>
      <c r="B11" s="186" t="s">
        <v>157</v>
      </c>
      <c r="C11" s="186" t="s">
        <v>153</v>
      </c>
      <c r="D11" s="186" t="s">
        <v>158</v>
      </c>
    </row>
    <row r="12" spans="1:4" ht="15.75">
      <c r="A12" s="186" t="s">
        <v>160</v>
      </c>
      <c r="B12" s="186" t="s">
        <v>212</v>
      </c>
      <c r="C12" s="186" t="s">
        <v>153</v>
      </c>
      <c r="D12" s="186" t="s">
        <v>213</v>
      </c>
    </row>
    <row r="13" spans="1:4" ht="15.75">
      <c r="A13" s="186" t="s">
        <v>160</v>
      </c>
      <c r="B13" s="186" t="s">
        <v>215</v>
      </c>
      <c r="C13" s="186" t="s">
        <v>153</v>
      </c>
      <c r="D13" s="186" t="s">
        <v>216</v>
      </c>
    </row>
    <row r="14" spans="1:4" ht="15.75">
      <c r="A14" s="185" t="s">
        <v>160</v>
      </c>
      <c r="B14" s="185" t="s">
        <v>302</v>
      </c>
      <c r="C14" s="185" t="s">
        <v>153</v>
      </c>
      <c r="D14" s="185">
        <v>72756.63</v>
      </c>
    </row>
    <row r="15" spans="1:4" ht="15.75">
      <c r="A15" s="186" t="s">
        <v>160</v>
      </c>
      <c r="B15" s="186" t="s">
        <v>301</v>
      </c>
      <c r="C15" s="186" t="s">
        <v>153</v>
      </c>
      <c r="D15" s="186">
        <v>31259.7</v>
      </c>
    </row>
    <row r="16" spans="1:4" ht="15.75">
      <c r="A16" s="186" t="s">
        <v>154</v>
      </c>
      <c r="B16" s="186" t="s">
        <v>155</v>
      </c>
      <c r="C16" s="186" t="s">
        <v>153</v>
      </c>
      <c r="D16" s="186" t="s">
        <v>202</v>
      </c>
    </row>
    <row r="17" spans="1:4" ht="15.75">
      <c r="A17" s="185" t="s">
        <v>154</v>
      </c>
      <c r="B17" s="185" t="s">
        <v>156</v>
      </c>
      <c r="C17" s="185" t="s">
        <v>153</v>
      </c>
      <c r="D17" s="185" t="s">
        <v>203</v>
      </c>
    </row>
    <row r="18" spans="1:4" ht="15.75">
      <c r="A18" s="185" t="s">
        <v>154</v>
      </c>
      <c r="B18" s="185" t="s">
        <v>155</v>
      </c>
      <c r="C18" s="185" t="s">
        <v>153</v>
      </c>
      <c r="D18" s="185" t="s">
        <v>208</v>
      </c>
    </row>
    <row r="19" spans="1:4" ht="15.75">
      <c r="A19" s="186" t="s">
        <v>154</v>
      </c>
      <c r="B19" s="186" t="s">
        <v>156</v>
      </c>
      <c r="C19" s="186" t="s">
        <v>153</v>
      </c>
      <c r="D19" s="186" t="s">
        <v>209</v>
      </c>
    </row>
  </sheetData>
  <autoFilter ref="A4:D4">
    <sortState ref="A3:D19">
      <sortCondition ref="A2"/>
    </sortState>
  </autoFilter>
  <mergeCells count="1">
    <mergeCell ref="A3:D3"/>
  </mergeCells>
  <pageMargins left="0.70866141732283472" right="0.70866141732283472" top="0.74803149606299213" bottom="0.74803149606299213" header="0.31496062992125984" footer="0.31496062992125984"/>
  <pageSetup scale="92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5"/>
  <sheetViews>
    <sheetView workbookViewId="0">
      <selection activeCell="E10" sqref="E10"/>
    </sheetView>
  </sheetViews>
  <sheetFormatPr baseColWidth="10" defaultRowHeight="15"/>
  <cols>
    <col min="1" max="1" width="12.85546875" customWidth="1"/>
    <col min="2" max="2" width="18" bestFit="1" customWidth="1"/>
    <col min="3" max="3" width="13.42578125" bestFit="1" customWidth="1"/>
    <col min="4" max="4" width="22.140625" customWidth="1"/>
    <col min="5" max="5" width="24.5703125" customWidth="1"/>
    <col min="6" max="6" width="20.85546875" customWidth="1"/>
    <col min="7" max="7" width="19.7109375" bestFit="1" customWidth="1"/>
  </cols>
  <sheetData>
    <row r="2" spans="1:7">
      <c r="A2" t="s">
        <v>252</v>
      </c>
      <c r="B2" t="s">
        <v>253</v>
      </c>
      <c r="C2" t="s">
        <v>172</v>
      </c>
      <c r="D2" t="s">
        <v>254</v>
      </c>
      <c r="E2" t="s">
        <v>255</v>
      </c>
      <c r="F2" t="s">
        <v>256</v>
      </c>
      <c r="G2" t="s">
        <v>271</v>
      </c>
    </row>
    <row r="3" spans="1:7">
      <c r="B3" t="s">
        <v>257</v>
      </c>
      <c r="C3" t="s">
        <v>258</v>
      </c>
      <c r="D3" s="2">
        <v>77331.27</v>
      </c>
      <c r="E3" s="311">
        <v>53253</v>
      </c>
    </row>
    <row r="4" spans="1:7" ht="15.75">
      <c r="B4" t="s">
        <v>259</v>
      </c>
      <c r="C4" t="s">
        <v>260</v>
      </c>
      <c r="D4" s="2">
        <v>16564.02</v>
      </c>
      <c r="E4" s="311"/>
      <c r="G4" s="185">
        <v>85345.14</v>
      </c>
    </row>
    <row r="5" spans="1:7" ht="15.75">
      <c r="B5" t="s">
        <v>261</v>
      </c>
      <c r="C5" t="s">
        <v>262</v>
      </c>
      <c r="D5" s="2">
        <v>21184.48</v>
      </c>
      <c r="E5" s="311"/>
      <c r="G5" s="185">
        <v>271198.90000000002</v>
      </c>
    </row>
    <row r="6" spans="1:7">
      <c r="B6" t="s">
        <v>263</v>
      </c>
      <c r="C6" t="s">
        <v>264</v>
      </c>
      <c r="D6" s="2">
        <v>27369.1</v>
      </c>
      <c r="E6" s="311">
        <v>50757</v>
      </c>
    </row>
    <row r="7" spans="1:7">
      <c r="B7" t="s">
        <v>265</v>
      </c>
      <c r="C7" t="s">
        <v>258</v>
      </c>
      <c r="D7" s="2">
        <v>6809.08</v>
      </c>
      <c r="E7" s="311"/>
    </row>
    <row r="8" spans="1:7">
      <c r="B8" t="s">
        <v>267</v>
      </c>
      <c r="C8" t="s">
        <v>268</v>
      </c>
      <c r="D8" s="2">
        <v>792.18</v>
      </c>
      <c r="E8" s="311"/>
    </row>
    <row r="9" spans="1:7">
      <c r="B9" t="s">
        <v>269</v>
      </c>
      <c r="C9" t="s">
        <v>266</v>
      </c>
      <c r="D9" s="2">
        <v>42331.71</v>
      </c>
      <c r="E9" s="2"/>
    </row>
    <row r="10" spans="1:7">
      <c r="B10" t="s">
        <v>270</v>
      </c>
      <c r="C10" t="s">
        <v>258</v>
      </c>
      <c r="D10" s="2">
        <v>84969.55</v>
      </c>
      <c r="E10" s="2">
        <f>+Cuentas!D14</f>
        <v>72756.63</v>
      </c>
    </row>
    <row r="11" spans="1:7">
      <c r="A11" s="119"/>
      <c r="B11" s="119"/>
      <c r="C11" s="119"/>
      <c r="D11" s="263">
        <f>SUM(D3:D10)</f>
        <v>277351.38999999996</v>
      </c>
      <c r="E11" s="1">
        <f>SUM(E3:E10)</f>
        <v>176766.63</v>
      </c>
      <c r="F11" s="151"/>
      <c r="G11" s="187">
        <f>SUM(G3:G10)</f>
        <v>356544.04000000004</v>
      </c>
    </row>
    <row r="12" spans="1:7">
      <c r="G12" s="149">
        <f>+Cuentas!D15</f>
        <v>31259.7</v>
      </c>
    </row>
    <row r="13" spans="1:7" ht="15.75" thickBot="1">
      <c r="F13" t="s">
        <v>272</v>
      </c>
      <c r="G13" s="1">
        <f>2410.85*15.79</f>
        <v>38067.321499999998</v>
      </c>
    </row>
    <row r="14" spans="1:7" ht="16.5" thickBot="1">
      <c r="F14" s="264" t="s">
        <v>273</v>
      </c>
      <c r="G14" s="265">
        <f>SUM(G11:G13)</f>
        <v>425871.06150000007</v>
      </c>
    </row>
    <row r="15" spans="1:7">
      <c r="D15" s="151"/>
    </row>
  </sheetData>
  <mergeCells count="2">
    <mergeCell ref="E3:E5"/>
    <mergeCell ref="E6:E8"/>
  </mergeCells>
  <pageMargins left="0.70866141732283472" right="0.70866141732283472" top="0.74803149606299213" bottom="0.74803149606299213" header="0.31496062992125984" footer="0.31496062992125984"/>
  <pageSetup scale="9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2016 Ganancias</vt:lpstr>
      <vt:lpstr>2016 Bienes</vt:lpstr>
      <vt:lpstr>Inmuebles</vt:lpstr>
      <vt:lpstr>Vehiculos</vt:lpstr>
      <vt:lpstr>Participaciones Sociedad</vt:lpstr>
      <vt:lpstr>Creditos</vt:lpstr>
      <vt:lpstr>Banco Saldos</vt:lpstr>
      <vt:lpstr>Cuentas</vt:lpstr>
      <vt:lpstr>Pasivos</vt:lpstr>
      <vt:lpstr>Dinero en Efectivo</vt:lpstr>
      <vt:lpstr>Consumo</vt:lpstr>
      <vt:lpstr>Prestamos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</dc:creator>
  <cp:lastModifiedBy>Augusto</cp:lastModifiedBy>
  <cp:lastPrinted>2017-08-09T18:57:30Z</cp:lastPrinted>
  <dcterms:created xsi:type="dcterms:W3CDTF">2013-04-08T22:31:22Z</dcterms:created>
  <dcterms:modified xsi:type="dcterms:W3CDTF">2017-10-31T21:14:18Z</dcterms:modified>
</cp:coreProperties>
</file>